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202300"/>
  <mc:AlternateContent xmlns:mc="http://schemas.openxmlformats.org/markup-compatibility/2006">
    <mc:Choice Requires="x15">
      <x15ac:absPath xmlns:x15ac="http://schemas.microsoft.com/office/spreadsheetml/2010/11/ac" url="C:\Users\MarkRank\Desktop\workspace\cirrus\hecvat update\"/>
    </mc:Choice>
  </mc:AlternateContent>
  <xr:revisionPtr revIDLastSave="0" documentId="13_ncr:1_{D280780F-9523-4CD2-8A57-EEAD6BF0869F}" xr6:coauthVersionLast="47" xr6:coauthVersionMax="47" xr10:uidLastSave="{00000000-0000-0000-0000-000000000000}"/>
  <bookViews>
    <workbookView xWindow="-110" yWindow="-110" windowWidth="19420" windowHeight="11500" tabRatio="815" activeTab="7" xr2:uid="{C8631FB3-7152-4A21-B0BC-A840C1918AA4}"/>
  </bookViews>
  <sheets>
    <sheet name="START HERE" sheetId="4" r:id="rId1"/>
    <sheet name="Organization" sheetId="8" r:id="rId2"/>
    <sheet name="Product" sheetId="9" r:id="rId3"/>
    <sheet name="Infrastructure" sheetId="10" r:id="rId4"/>
    <sheet name="IT Accessibility" sheetId="11" r:id="rId5"/>
    <sheet name="Case-Specific" sheetId="12" r:id="rId6"/>
    <sheet name="AI" sheetId="13" r:id="rId7"/>
    <sheet name="Privacy" sheetId="14" r:id="rId8"/>
    <sheet name="Institution Evaluation" sheetId="22" r:id="rId9"/>
    <sheet name="High-Risk Evaluation" sheetId="21" r:id="rId10"/>
    <sheet name="Privacy Analyst Evaluation" sheetId="25" r:id="rId11"/>
    <sheet name="Analyst Reference" sheetId="16" r:id="rId12"/>
    <sheet name="Questions" sheetId="2" state="hidden" r:id="rId13"/>
    <sheet name="Auto Responses" sheetId="3" state="hidden" r:id="rId14"/>
    <sheet name="(backend scoring)" sheetId="20" state="hidden" r:id="rId15"/>
  </sheets>
  <definedNames>
    <definedName name="_xlnm._FilterDatabase" localSheetId="14" hidden="1">'(backend scoring)'!$A$2:$V$333</definedName>
    <definedName name="_xlnm._FilterDatabase" localSheetId="12" hidden="1">Questions!$A$2:$X$334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14" l="1"/>
  <c r="E86" i="14"/>
  <c r="E85" i="14"/>
  <c r="E84" i="14"/>
  <c r="E83" i="14"/>
  <c r="E82" i="14"/>
  <c r="E81" i="14"/>
  <c r="E80" i="14"/>
  <c r="E79" i="14"/>
  <c r="E78" i="14"/>
  <c r="E77" i="14"/>
  <c r="E76" i="14"/>
  <c r="E72" i="14"/>
  <c r="E61" i="14"/>
  <c r="E35" i="14"/>
  <c r="E67" i="8"/>
  <c r="E38" i="8"/>
  <c r="E37" i="8"/>
  <c r="G287" i="22"/>
  <c r="I287" i="22"/>
  <c r="A71" i="8" l="1"/>
  <c r="D372" i="16"/>
  <c r="C372" i="16"/>
  <c r="D371" i="16"/>
  <c r="C371" i="16"/>
  <c r="D370" i="16"/>
  <c r="C370" i="16"/>
  <c r="D369" i="16"/>
  <c r="C369" i="16"/>
  <c r="D368" i="16"/>
  <c r="C368" i="16"/>
  <c r="D367" i="16"/>
  <c r="C367" i="16"/>
  <c r="D365" i="16"/>
  <c r="C365" i="16"/>
  <c r="D364" i="16"/>
  <c r="C364" i="16"/>
  <c r="D363" i="16"/>
  <c r="C363" i="16"/>
  <c r="D362" i="16"/>
  <c r="C362" i="16"/>
  <c r="D361" i="16"/>
  <c r="C361" i="16"/>
  <c r="D360" i="16"/>
  <c r="C360" i="16"/>
  <c r="D359" i="16"/>
  <c r="C359" i="16"/>
  <c r="D358" i="16"/>
  <c r="C358" i="16"/>
  <c r="D356" i="16"/>
  <c r="C356" i="16"/>
  <c r="D355" i="16"/>
  <c r="C355" i="16"/>
  <c r="D354" i="16"/>
  <c r="C354" i="16"/>
  <c r="D353" i="16"/>
  <c r="C353" i="16"/>
  <c r="D352" i="16"/>
  <c r="C352" i="16"/>
  <c r="D350" i="16"/>
  <c r="C350" i="16"/>
  <c r="D349" i="16"/>
  <c r="C349" i="16"/>
  <c r="D348" i="16"/>
  <c r="C348" i="16"/>
  <c r="D347" i="16"/>
  <c r="C347" i="16"/>
  <c r="D346" i="16"/>
  <c r="C346" i="16"/>
  <c r="D344" i="16"/>
  <c r="C344" i="16"/>
  <c r="D343" i="16"/>
  <c r="C343" i="16"/>
  <c r="D342" i="16"/>
  <c r="C342" i="16"/>
  <c r="D341" i="16"/>
  <c r="C341" i="16"/>
  <c r="D340" i="16"/>
  <c r="C340" i="16"/>
  <c r="D338" i="16"/>
  <c r="C338" i="16"/>
  <c r="D337" i="16"/>
  <c r="C337" i="16"/>
  <c r="C328" i="16"/>
  <c r="D328" i="16"/>
  <c r="C329" i="16"/>
  <c r="D329" i="16"/>
  <c r="C330" i="16"/>
  <c r="D330" i="16"/>
  <c r="C331" i="16"/>
  <c r="D331" i="16"/>
  <c r="C332" i="16"/>
  <c r="D332" i="16"/>
  <c r="C333" i="16"/>
  <c r="D333" i="16"/>
  <c r="C334" i="16"/>
  <c r="D334" i="16"/>
  <c r="C335" i="16"/>
  <c r="D335" i="16"/>
  <c r="D326" i="16"/>
  <c r="C326" i="16"/>
  <c r="D325" i="16"/>
  <c r="C325" i="16"/>
  <c r="D324" i="16"/>
  <c r="C324" i="16"/>
  <c r="D323" i="16"/>
  <c r="C323" i="16"/>
  <c r="D322" i="16"/>
  <c r="C322" i="16"/>
  <c r="D321" i="16"/>
  <c r="C321" i="16"/>
  <c r="D320" i="16"/>
  <c r="C320" i="16"/>
  <c r="D319" i="16"/>
  <c r="C319" i="16"/>
  <c r="D318" i="16"/>
  <c r="C318" i="16"/>
  <c r="D317" i="16"/>
  <c r="C317" i="16"/>
  <c r="D316" i="16"/>
  <c r="C316" i="16"/>
  <c r="D315" i="16"/>
  <c r="C315" i="16"/>
  <c r="D314" i="16"/>
  <c r="C314" i="16"/>
  <c r="D313" i="16"/>
  <c r="C313" i="16"/>
  <c r="D312" i="16"/>
  <c r="C312" i="16"/>
  <c r="D310" i="16"/>
  <c r="C310" i="16"/>
  <c r="D309" i="16"/>
  <c r="C309" i="16"/>
  <c r="D308" i="16"/>
  <c r="C308" i="16"/>
  <c r="D307" i="16"/>
  <c r="C307" i="16"/>
  <c r="D306" i="16"/>
  <c r="C306" i="16"/>
  <c r="D304" i="16"/>
  <c r="C304" i="16"/>
  <c r="D303" i="16"/>
  <c r="C303" i="16"/>
  <c r="D302" i="16"/>
  <c r="C302" i="16"/>
  <c r="D301" i="16"/>
  <c r="C301" i="16"/>
  <c r="D300" i="16"/>
  <c r="C300" i="16"/>
  <c r="D299" i="16"/>
  <c r="C299" i="16"/>
  <c r="D298" i="16"/>
  <c r="C298" i="16"/>
  <c r="D297" i="16"/>
  <c r="C297" i="16"/>
  <c r="D296" i="16"/>
  <c r="C296" i="16"/>
  <c r="D295" i="16"/>
  <c r="C295" i="16"/>
  <c r="D294" i="16"/>
  <c r="C294" i="16"/>
  <c r="D293" i="16"/>
  <c r="C293" i="16"/>
  <c r="D292" i="16"/>
  <c r="C292" i="16"/>
  <c r="D290" i="16"/>
  <c r="C290" i="16"/>
  <c r="D289" i="16"/>
  <c r="C289" i="16"/>
  <c r="D288" i="16"/>
  <c r="C288" i="16"/>
  <c r="D287" i="16"/>
  <c r="C287" i="16"/>
  <c r="D286" i="16"/>
  <c r="C286" i="16"/>
  <c r="D285" i="16"/>
  <c r="C285" i="16"/>
  <c r="D284" i="16"/>
  <c r="C284" i="16"/>
  <c r="D283" i="16"/>
  <c r="C283" i="16"/>
  <c r="D281" i="16"/>
  <c r="C281" i="16"/>
  <c r="D280" i="16"/>
  <c r="C280" i="16"/>
  <c r="D278" i="16"/>
  <c r="C278" i="16"/>
  <c r="D277" i="16"/>
  <c r="C277" i="16"/>
  <c r="D275" i="16"/>
  <c r="C275" i="16"/>
  <c r="D274" i="16"/>
  <c r="C274" i="16"/>
  <c r="D273" i="16"/>
  <c r="C273" i="16"/>
  <c r="D271" i="16"/>
  <c r="C271" i="16"/>
  <c r="D270" i="16"/>
  <c r="C270" i="16"/>
  <c r="D269" i="16"/>
  <c r="C269" i="16"/>
  <c r="D268" i="16"/>
  <c r="C268" i="16"/>
  <c r="D266" i="16"/>
  <c r="C266" i="16"/>
  <c r="D265" i="16"/>
  <c r="C265" i="16"/>
  <c r="D264" i="16"/>
  <c r="C264" i="16"/>
  <c r="D263" i="16"/>
  <c r="C263" i="16"/>
  <c r="D262" i="16"/>
  <c r="C262" i="16"/>
  <c r="D260" i="16"/>
  <c r="C260" i="16"/>
  <c r="D259" i="16"/>
  <c r="C259" i="16"/>
  <c r="D258" i="16"/>
  <c r="C258" i="16"/>
  <c r="D257" i="16"/>
  <c r="C257" i="16"/>
  <c r="D256" i="16"/>
  <c r="C256" i="16"/>
  <c r="D255" i="16"/>
  <c r="C255" i="16"/>
  <c r="D254" i="16"/>
  <c r="C254" i="16"/>
  <c r="D253" i="16"/>
  <c r="C253" i="16"/>
  <c r="D252" i="16"/>
  <c r="C252" i="16"/>
  <c r="D251" i="16"/>
  <c r="C251" i="16"/>
  <c r="D249" i="16"/>
  <c r="C249" i="16"/>
  <c r="D248" i="16"/>
  <c r="C248" i="16"/>
  <c r="D247" i="16"/>
  <c r="C247" i="16"/>
  <c r="D246" i="16"/>
  <c r="C246" i="16"/>
  <c r="D245" i="16"/>
  <c r="C245" i="16"/>
  <c r="D244" i="16"/>
  <c r="C244" i="16"/>
  <c r="D243" i="16"/>
  <c r="C243" i="16"/>
  <c r="D242" i="16"/>
  <c r="C242" i="16"/>
  <c r="D241" i="16"/>
  <c r="C241" i="16"/>
  <c r="D240" i="16"/>
  <c r="C240" i="16"/>
  <c r="D239" i="16"/>
  <c r="C239" i="16"/>
  <c r="D238" i="16"/>
  <c r="C238" i="16"/>
  <c r="D236" i="16"/>
  <c r="C236" i="16"/>
  <c r="D235" i="16"/>
  <c r="C235" i="16"/>
  <c r="D234" i="16"/>
  <c r="C234" i="16"/>
  <c r="D233" i="16"/>
  <c r="C233" i="16"/>
  <c r="D232" i="16"/>
  <c r="C232" i="16"/>
  <c r="D231" i="16"/>
  <c r="C231" i="16"/>
  <c r="D230" i="16"/>
  <c r="C230" i="16"/>
  <c r="D229" i="16"/>
  <c r="C229" i="16"/>
  <c r="D228" i="16"/>
  <c r="C228" i="16"/>
  <c r="D227" i="16"/>
  <c r="C227" i="16"/>
  <c r="D226" i="16"/>
  <c r="C226" i="16"/>
  <c r="D225" i="16"/>
  <c r="C225" i="16"/>
  <c r="D224" i="16"/>
  <c r="C224" i="16"/>
  <c r="D223" i="16"/>
  <c r="C223" i="16"/>
  <c r="D222" i="16"/>
  <c r="C222" i="16"/>
  <c r="D221" i="16"/>
  <c r="C221" i="16"/>
  <c r="D220" i="16"/>
  <c r="C220" i="16"/>
  <c r="D219" i="16"/>
  <c r="C219" i="16"/>
  <c r="D218" i="16"/>
  <c r="C218" i="16"/>
  <c r="D217" i="16"/>
  <c r="C217" i="16"/>
  <c r="D216" i="16"/>
  <c r="C216" i="16"/>
  <c r="D215" i="16"/>
  <c r="C215" i="16"/>
  <c r="D214" i="16"/>
  <c r="C214" i="16"/>
  <c r="D213" i="16"/>
  <c r="C213" i="16"/>
  <c r="D212" i="16"/>
  <c r="C212" i="16"/>
  <c r="D211" i="16"/>
  <c r="C211" i="16"/>
  <c r="D210" i="16"/>
  <c r="C210" i="16"/>
  <c r="D209" i="16"/>
  <c r="C209" i="16"/>
  <c r="D208" i="16"/>
  <c r="C208" i="16"/>
  <c r="D206" i="16"/>
  <c r="C206" i="16"/>
  <c r="D205" i="16"/>
  <c r="C205" i="16"/>
  <c r="D204" i="16"/>
  <c r="C204" i="16"/>
  <c r="D203" i="16"/>
  <c r="C203" i="16"/>
  <c r="D202" i="16"/>
  <c r="C202" i="16"/>
  <c r="D201" i="16"/>
  <c r="C201" i="16"/>
  <c r="D199" i="16"/>
  <c r="C199" i="16"/>
  <c r="D198" i="16"/>
  <c r="C198" i="16"/>
  <c r="D197" i="16"/>
  <c r="C197" i="16"/>
  <c r="D196" i="16"/>
  <c r="C196" i="16"/>
  <c r="D194" i="16"/>
  <c r="C194" i="16"/>
  <c r="D193" i="16"/>
  <c r="C193" i="16"/>
  <c r="D192" i="16"/>
  <c r="C192" i="16"/>
  <c r="D191" i="16"/>
  <c r="C191" i="16"/>
  <c r="D190" i="16"/>
  <c r="C190" i="16"/>
  <c r="D189" i="16"/>
  <c r="C189" i="16"/>
  <c r="D188" i="16"/>
  <c r="C188" i="16"/>
  <c r="D187" i="16"/>
  <c r="C187" i="16"/>
  <c r="D186" i="16"/>
  <c r="C186" i="16"/>
  <c r="D185" i="16"/>
  <c r="C185" i="16"/>
  <c r="D184" i="16"/>
  <c r="C184" i="16"/>
  <c r="D183" i="16"/>
  <c r="C183" i="16"/>
  <c r="D182" i="16"/>
  <c r="C182" i="16"/>
  <c r="D181" i="16"/>
  <c r="C181" i="16"/>
  <c r="D180" i="16"/>
  <c r="C180" i="16"/>
  <c r="D178" i="16"/>
  <c r="C178" i="16"/>
  <c r="D177" i="16"/>
  <c r="C177" i="16"/>
  <c r="D176" i="16"/>
  <c r="C176" i="16"/>
  <c r="D175" i="16"/>
  <c r="C175" i="16"/>
  <c r="D174" i="16"/>
  <c r="C174" i="16"/>
  <c r="D173" i="16"/>
  <c r="C173" i="16"/>
  <c r="D172" i="16"/>
  <c r="C172" i="16"/>
  <c r="D171" i="16"/>
  <c r="C171" i="16"/>
  <c r="D170" i="16"/>
  <c r="C170" i="16"/>
  <c r="D169" i="16"/>
  <c r="C169" i="16"/>
  <c r="D168" i="16"/>
  <c r="C168" i="16"/>
  <c r="D166" i="16"/>
  <c r="C166" i="16"/>
  <c r="D165" i="16"/>
  <c r="C165" i="16"/>
  <c r="D164" i="16"/>
  <c r="C164" i="16"/>
  <c r="D163" i="16"/>
  <c r="C163" i="16"/>
  <c r="D162" i="16"/>
  <c r="C162" i="16"/>
  <c r="D161" i="16"/>
  <c r="C161" i="16"/>
  <c r="D160" i="16"/>
  <c r="C160" i="16"/>
  <c r="D159" i="16"/>
  <c r="C159" i="16"/>
  <c r="D158" i="16"/>
  <c r="C158" i="16"/>
  <c r="D157" i="16"/>
  <c r="C157" i="16"/>
  <c r="D156" i="16"/>
  <c r="C156" i="16"/>
  <c r="D155" i="16"/>
  <c r="C155" i="16"/>
  <c r="D154" i="16"/>
  <c r="C154" i="16"/>
  <c r="D153" i="16"/>
  <c r="C153" i="16"/>
  <c r="D152" i="16"/>
  <c r="C152" i="16"/>
  <c r="D151" i="16"/>
  <c r="C151" i="16"/>
  <c r="D149" i="16"/>
  <c r="C149" i="16"/>
  <c r="D148" i="16"/>
  <c r="C148" i="16"/>
  <c r="D147" i="16"/>
  <c r="C147" i="16"/>
  <c r="D146" i="16"/>
  <c r="C146" i="16"/>
  <c r="D145" i="16"/>
  <c r="C145" i="16"/>
  <c r="D144" i="16"/>
  <c r="C144" i="16"/>
  <c r="D143" i="16"/>
  <c r="C143" i="16"/>
  <c r="D142" i="16"/>
  <c r="C142" i="16"/>
  <c r="D141" i="16"/>
  <c r="C141" i="16"/>
  <c r="D140" i="16"/>
  <c r="C140" i="16"/>
  <c r="D139" i="16"/>
  <c r="C139" i="16"/>
  <c r="D138" i="16"/>
  <c r="C138" i="16"/>
  <c r="D137" i="16"/>
  <c r="C137" i="16"/>
  <c r="D136" i="16"/>
  <c r="C136" i="16"/>
  <c r="D135" i="16"/>
  <c r="C135" i="16"/>
  <c r="D134" i="16"/>
  <c r="C134" i="16"/>
  <c r="D133" i="16"/>
  <c r="C133" i="16"/>
  <c r="D132" i="16"/>
  <c r="C132" i="16"/>
  <c r="D131" i="16"/>
  <c r="C131" i="16"/>
  <c r="D130" i="16"/>
  <c r="C130" i="16"/>
  <c r="D129" i="16"/>
  <c r="C129" i="16"/>
  <c r="D128" i="16"/>
  <c r="C128" i="16"/>
  <c r="D127" i="16"/>
  <c r="C127" i="16"/>
  <c r="D125" i="16"/>
  <c r="C125" i="16"/>
  <c r="D124" i="16"/>
  <c r="C124" i="16"/>
  <c r="D123" i="16"/>
  <c r="C123" i="16"/>
  <c r="D122" i="16"/>
  <c r="C122" i="16"/>
  <c r="D121" i="16"/>
  <c r="C121" i="16"/>
  <c r="D120" i="16"/>
  <c r="C120" i="16"/>
  <c r="D119" i="16"/>
  <c r="C119" i="16"/>
  <c r="D118" i="16"/>
  <c r="C118" i="16"/>
  <c r="D117" i="16"/>
  <c r="C117" i="16"/>
  <c r="D116" i="16"/>
  <c r="C116" i="16"/>
  <c r="D115" i="16"/>
  <c r="C115" i="16"/>
  <c r="D114" i="16"/>
  <c r="C114" i="16"/>
  <c r="D113" i="16"/>
  <c r="C113" i="16"/>
  <c r="D112" i="16"/>
  <c r="C112" i="16"/>
  <c r="D111" i="16"/>
  <c r="C111" i="16"/>
  <c r="D110" i="16"/>
  <c r="C110" i="16"/>
  <c r="D108" i="16"/>
  <c r="C108" i="16"/>
  <c r="D107" i="16"/>
  <c r="C107" i="16"/>
  <c r="D106" i="16"/>
  <c r="C106" i="16"/>
  <c r="D105" i="16"/>
  <c r="C105" i="16"/>
  <c r="D104" i="16"/>
  <c r="C104" i="16"/>
  <c r="D103" i="16"/>
  <c r="C103" i="16"/>
  <c r="D102" i="16"/>
  <c r="C102" i="16"/>
  <c r="D101" i="16"/>
  <c r="C101" i="16"/>
  <c r="D100" i="16"/>
  <c r="C100" i="16"/>
  <c r="D99" i="16"/>
  <c r="C99" i="16"/>
  <c r="D98" i="16"/>
  <c r="C98" i="16"/>
  <c r="D97" i="16"/>
  <c r="C97" i="16"/>
  <c r="D96" i="16"/>
  <c r="C96" i="16"/>
  <c r="D95" i="16"/>
  <c r="C95" i="16"/>
  <c r="D94" i="16"/>
  <c r="C94" i="16"/>
  <c r="D93" i="16"/>
  <c r="C93" i="16"/>
  <c r="D92" i="16"/>
  <c r="C92" i="16"/>
  <c r="D91" i="16"/>
  <c r="C91" i="16"/>
  <c r="C109" i="16"/>
  <c r="D109" i="16"/>
  <c r="D89" i="16"/>
  <c r="C89" i="16"/>
  <c r="D88" i="16"/>
  <c r="C88" i="16"/>
  <c r="D87" i="16"/>
  <c r="C87" i="16"/>
  <c r="D86" i="16"/>
  <c r="C86" i="16"/>
  <c r="D85" i="16"/>
  <c r="C85" i="16"/>
  <c r="D84" i="16"/>
  <c r="C84" i="16"/>
  <c r="D83" i="16"/>
  <c r="C83" i="16"/>
  <c r="D82" i="16"/>
  <c r="C82" i="16"/>
  <c r="D81" i="16"/>
  <c r="C81" i="16"/>
  <c r="D80" i="16"/>
  <c r="C80" i="16"/>
  <c r="D79" i="16"/>
  <c r="C79" i="16"/>
  <c r="D78" i="16"/>
  <c r="C78" i="16"/>
  <c r="D77" i="16"/>
  <c r="C77" i="16"/>
  <c r="D76" i="16"/>
  <c r="C76" i="16"/>
  <c r="D74" i="16"/>
  <c r="C74" i="16"/>
  <c r="D73" i="16"/>
  <c r="C73" i="16"/>
  <c r="D72" i="16"/>
  <c r="C72" i="16"/>
  <c r="D71" i="16"/>
  <c r="C71" i="16"/>
  <c r="D70" i="16"/>
  <c r="C70" i="16"/>
  <c r="D69" i="16"/>
  <c r="C69" i="16"/>
  <c r="D68" i="16"/>
  <c r="C68" i="16"/>
  <c r="D67" i="16"/>
  <c r="C67" i="16"/>
  <c r="D66" i="16"/>
  <c r="C66" i="16"/>
  <c r="D64" i="16"/>
  <c r="C64" i="16"/>
  <c r="D63" i="16"/>
  <c r="C63" i="16"/>
  <c r="D62" i="16"/>
  <c r="C62" i="16"/>
  <c r="D61" i="16"/>
  <c r="C61" i="16"/>
  <c r="D60" i="16"/>
  <c r="C60" i="16"/>
  <c r="D58" i="16"/>
  <c r="C58" i="16"/>
  <c r="D57" i="16"/>
  <c r="C57" i="16"/>
  <c r="D56" i="16"/>
  <c r="C56" i="16"/>
  <c r="D55" i="16"/>
  <c r="C55" i="16"/>
  <c r="D54" i="16"/>
  <c r="C54" i="16"/>
  <c r="D53" i="16"/>
  <c r="C53" i="16"/>
  <c r="D52" i="16"/>
  <c r="C52" i="16"/>
  <c r="D51" i="16"/>
  <c r="C51" i="16"/>
  <c r="D50" i="16"/>
  <c r="C50" i="16"/>
  <c r="D49" i="16"/>
  <c r="C49" i="16"/>
  <c r="D48" i="16"/>
  <c r="C48" i="16"/>
  <c r="D47" i="16"/>
  <c r="C47" i="16"/>
  <c r="D46" i="16"/>
  <c r="C46" i="16"/>
  <c r="D45" i="16"/>
  <c r="C45" i="16"/>
  <c r="D44" i="16"/>
  <c r="C44" i="16"/>
  <c r="D43" i="16"/>
  <c r="C43" i="16"/>
  <c r="D42" i="16"/>
  <c r="C42" i="16"/>
  <c r="D41" i="16"/>
  <c r="C41" i="16"/>
  <c r="D39" i="16"/>
  <c r="C39" i="16"/>
  <c r="D38" i="16"/>
  <c r="C38" i="16"/>
  <c r="D37" i="16"/>
  <c r="C37" i="16"/>
  <c r="D36" i="16"/>
  <c r="C36" i="16"/>
  <c r="D35" i="16"/>
  <c r="C35" i="16"/>
  <c r="D34" i="16"/>
  <c r="C34" i="16"/>
  <c r="D33" i="16"/>
  <c r="C33" i="16"/>
  <c r="D25" i="16"/>
  <c r="D26" i="16"/>
  <c r="D27" i="16"/>
  <c r="D28" i="16"/>
  <c r="D29" i="16"/>
  <c r="D30" i="16"/>
  <c r="D31" i="16"/>
  <c r="D22" i="16"/>
  <c r="C22" i="16"/>
  <c r="D21" i="16"/>
  <c r="C21" i="16"/>
  <c r="D20" i="16"/>
  <c r="C20" i="16"/>
  <c r="D19" i="16"/>
  <c r="C19" i="16"/>
  <c r="D18" i="16"/>
  <c r="C18" i="16"/>
  <c r="C9" i="16"/>
  <c r="D9" i="16"/>
  <c r="C10" i="16"/>
  <c r="D10" i="16"/>
  <c r="C11" i="16"/>
  <c r="D11" i="16"/>
  <c r="C12" i="16"/>
  <c r="D12" i="16"/>
  <c r="C13" i="16"/>
  <c r="D13" i="16"/>
  <c r="C14" i="16"/>
  <c r="D14" i="16"/>
  <c r="C15" i="16"/>
  <c r="D15" i="16"/>
  <c r="C16" i="16"/>
  <c r="D16" i="16"/>
  <c r="D8" i="16"/>
  <c r="C8" i="16"/>
  <c r="F97" i="14"/>
  <c r="F96" i="14"/>
  <c r="F95" i="14"/>
  <c r="F94" i="14"/>
  <c r="F93" i="14"/>
  <c r="F92" i="14"/>
  <c r="F91" i="14"/>
  <c r="F90" i="14"/>
  <c r="F88" i="14"/>
  <c r="F87" i="14"/>
  <c r="F86" i="14"/>
  <c r="F85" i="14"/>
  <c r="F84" i="14"/>
  <c r="F83" i="14"/>
  <c r="F82" i="14"/>
  <c r="F81" i="14"/>
  <c r="F80" i="14"/>
  <c r="F79" i="14"/>
  <c r="F78" i="14"/>
  <c r="F77" i="14"/>
  <c r="F76" i="14"/>
  <c r="F75" i="14"/>
  <c r="F74" i="14"/>
  <c r="F72" i="14"/>
  <c r="F71" i="14"/>
  <c r="F70" i="14"/>
  <c r="F69" i="14"/>
  <c r="F68" i="14"/>
  <c r="F66" i="14"/>
  <c r="F65" i="14"/>
  <c r="F64" i="14"/>
  <c r="F63" i="14"/>
  <c r="F62" i="14"/>
  <c r="F61" i="14"/>
  <c r="F60" i="14"/>
  <c r="F59" i="14"/>
  <c r="F58" i="14"/>
  <c r="F57" i="14"/>
  <c r="F56" i="14"/>
  <c r="F55" i="14"/>
  <c r="F54" i="14"/>
  <c r="F52" i="14"/>
  <c r="F51" i="14"/>
  <c r="F50" i="14"/>
  <c r="F49" i="14"/>
  <c r="F48" i="14"/>
  <c r="F47" i="14"/>
  <c r="F46" i="14"/>
  <c r="F45" i="14"/>
  <c r="F43" i="14"/>
  <c r="F42" i="14"/>
  <c r="F40" i="14"/>
  <c r="F39" i="14"/>
  <c r="F37" i="14"/>
  <c r="F36" i="14"/>
  <c r="F35" i="14"/>
  <c r="F33" i="14"/>
  <c r="F32" i="14"/>
  <c r="F31" i="14"/>
  <c r="F30" i="14"/>
  <c r="F28" i="14"/>
  <c r="F27" i="14"/>
  <c r="F26" i="14"/>
  <c r="F25" i="14"/>
  <c r="F24" i="14"/>
  <c r="F18" i="13"/>
  <c r="F85" i="12"/>
  <c r="F84" i="12"/>
  <c r="F83" i="12"/>
  <c r="F82" i="12"/>
  <c r="F81" i="12"/>
  <c r="F80" i="12"/>
  <c r="F79" i="12"/>
  <c r="F78" i="12"/>
  <c r="F77" i="12"/>
  <c r="F76" i="12"/>
  <c r="F74" i="12"/>
  <c r="F73" i="12"/>
  <c r="F72" i="12"/>
  <c r="F71" i="12"/>
  <c r="F70" i="12"/>
  <c r="F69" i="12"/>
  <c r="F68" i="12"/>
  <c r="F67" i="12"/>
  <c r="F66" i="12"/>
  <c r="F65" i="12"/>
  <c r="F64" i="12"/>
  <c r="F63"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1" i="12"/>
  <c r="F30" i="12"/>
  <c r="F29" i="12"/>
  <c r="F28" i="12"/>
  <c r="F27" i="12"/>
  <c r="F26" i="12"/>
  <c r="F25" i="12"/>
  <c r="F24" i="12"/>
  <c r="F23" i="12"/>
  <c r="F21" i="12"/>
  <c r="F20" i="12"/>
  <c r="F19" i="12"/>
  <c r="F18" i="12"/>
  <c r="F37" i="11"/>
  <c r="F36" i="11"/>
  <c r="F35" i="11"/>
  <c r="F34" i="11"/>
  <c r="F33" i="11"/>
  <c r="F32" i="11"/>
  <c r="F31" i="11"/>
  <c r="F30" i="11"/>
  <c r="F29" i="11"/>
  <c r="F28" i="11"/>
  <c r="F27" i="11"/>
  <c r="F26" i="11"/>
  <c r="F25" i="11"/>
  <c r="F24" i="11"/>
  <c r="F23" i="11"/>
  <c r="F22" i="11"/>
  <c r="F21" i="11"/>
  <c r="F20" i="11"/>
  <c r="F18" i="11"/>
  <c r="F74" i="10"/>
  <c r="F73" i="10"/>
  <c r="F72" i="10"/>
  <c r="F71" i="10"/>
  <c r="F70" i="10"/>
  <c r="F69" i="10"/>
  <c r="F67" i="10"/>
  <c r="F66" i="10"/>
  <c r="F65" i="10"/>
  <c r="F64" i="10"/>
  <c r="F62" i="10"/>
  <c r="F61" i="10"/>
  <c r="F60" i="10"/>
  <c r="F59" i="10"/>
  <c r="F58" i="10"/>
  <c r="F57" i="10"/>
  <c r="F56" i="10"/>
  <c r="F55" i="10"/>
  <c r="F54" i="10"/>
  <c r="F53" i="10"/>
  <c r="F52" i="10"/>
  <c r="F50" i="10"/>
  <c r="F49" i="10"/>
  <c r="F48" i="10"/>
  <c r="F47" i="10"/>
  <c r="F46" i="10"/>
  <c r="F45" i="10"/>
  <c r="F44" i="10"/>
  <c r="F43" i="10"/>
  <c r="F42" i="10"/>
  <c r="F41" i="10"/>
  <c r="F40" i="10"/>
  <c r="F39" i="10"/>
  <c r="F38" i="10"/>
  <c r="F37" i="10"/>
  <c r="F36" i="10"/>
  <c r="F35" i="10"/>
  <c r="F33" i="10"/>
  <c r="F32" i="10"/>
  <c r="F31" i="10"/>
  <c r="F30" i="10"/>
  <c r="F29" i="10"/>
  <c r="F28" i="10"/>
  <c r="F27" i="10"/>
  <c r="F26" i="10"/>
  <c r="F25" i="10"/>
  <c r="F24" i="10"/>
  <c r="F23" i="10"/>
  <c r="F22" i="10"/>
  <c r="F21" i="10"/>
  <c r="F20" i="10"/>
  <c r="F18" i="10"/>
  <c r="F61" i="9"/>
  <c r="F60" i="9"/>
  <c r="F59" i="9"/>
  <c r="F58" i="9"/>
  <c r="F57" i="9"/>
  <c r="F56" i="9"/>
  <c r="F55" i="9"/>
  <c r="F54" i="9"/>
  <c r="F53" i="9"/>
  <c r="F52" i="9"/>
  <c r="F51" i="9"/>
  <c r="F50" i="9"/>
  <c r="F49" i="9"/>
  <c r="F48" i="9"/>
  <c r="F47" i="9"/>
  <c r="F46" i="9"/>
  <c r="F45" i="9"/>
  <c r="F44" i="9"/>
  <c r="F43" i="9"/>
  <c r="F42" i="9"/>
  <c r="F41" i="9"/>
  <c r="F40" i="9"/>
  <c r="F39" i="9"/>
  <c r="F37" i="9"/>
  <c r="F36" i="9"/>
  <c r="F35" i="9"/>
  <c r="F34" i="9"/>
  <c r="F33" i="9"/>
  <c r="F32" i="9"/>
  <c r="F31" i="9"/>
  <c r="F30" i="9"/>
  <c r="F29" i="9"/>
  <c r="F28" i="9"/>
  <c r="F27" i="9"/>
  <c r="F26" i="9"/>
  <c r="F25" i="9"/>
  <c r="F24" i="9"/>
  <c r="F23" i="9"/>
  <c r="F22" i="9"/>
  <c r="F21" i="9"/>
  <c r="F20" i="9"/>
  <c r="F18" i="9"/>
  <c r="F67" i="8"/>
  <c r="F66" i="8"/>
  <c r="F65" i="8"/>
  <c r="F64" i="8"/>
  <c r="F63" i="8"/>
  <c r="F62" i="8"/>
  <c r="F61" i="8"/>
  <c r="F60" i="8"/>
  <c r="F59" i="8"/>
  <c r="F58" i="8"/>
  <c r="F57" i="8"/>
  <c r="F56" i="8"/>
  <c r="F55" i="8"/>
  <c r="F54" i="8"/>
  <c r="F53" i="8"/>
  <c r="F51" i="8"/>
  <c r="F50" i="8"/>
  <c r="F49" i="8"/>
  <c r="F48" i="8"/>
  <c r="F47" i="8"/>
  <c r="F46" i="8"/>
  <c r="F45" i="8"/>
  <c r="F44" i="8"/>
  <c r="F43" i="8"/>
  <c r="F42" i="8"/>
  <c r="F41" i="8"/>
  <c r="F40" i="8"/>
  <c r="F39" i="8"/>
  <c r="F38" i="8"/>
  <c r="F37" i="8"/>
  <c r="F36" i="8"/>
  <c r="F34" i="8"/>
  <c r="F33" i="8"/>
  <c r="F32" i="8"/>
  <c r="F31" i="8"/>
  <c r="F30" i="8"/>
  <c r="F28" i="8"/>
  <c r="F27" i="8"/>
  <c r="F26" i="8"/>
  <c r="F25" i="8"/>
  <c r="F24" i="8"/>
  <c r="F23" i="8"/>
  <c r="F22" i="8"/>
  <c r="F36" i="4"/>
  <c r="F35" i="4"/>
  <c r="F34" i="4"/>
  <c r="F33" i="4"/>
  <c r="F32" i="4"/>
  <c r="F19" i="14" s="1"/>
  <c r="F31" i="4"/>
  <c r="F30" i="4"/>
  <c r="F29" i="4"/>
  <c r="F27" i="4"/>
  <c r="F26" i="4"/>
  <c r="F25" i="4"/>
  <c r="F24" i="4"/>
  <c r="F23" i="4"/>
  <c r="I120" i="25"/>
  <c r="G120" i="25"/>
  <c r="I119" i="25"/>
  <c r="G119" i="25"/>
  <c r="I118" i="25"/>
  <c r="G118" i="25"/>
  <c r="I117" i="25"/>
  <c r="G117" i="25"/>
  <c r="I116" i="25"/>
  <c r="G116" i="25"/>
  <c r="I115" i="25"/>
  <c r="G115" i="25"/>
  <c r="I114" i="25"/>
  <c r="G114" i="25"/>
  <c r="I113" i="25"/>
  <c r="G113" i="25"/>
  <c r="I111" i="25"/>
  <c r="G111" i="25"/>
  <c r="I110" i="25"/>
  <c r="G110" i="25"/>
  <c r="I109" i="25"/>
  <c r="G109" i="25"/>
  <c r="I108" i="25"/>
  <c r="G108" i="25"/>
  <c r="I107" i="25"/>
  <c r="G107" i="25"/>
  <c r="I106" i="25"/>
  <c r="G106" i="25"/>
  <c r="I105" i="25"/>
  <c r="G105" i="25"/>
  <c r="I104" i="25"/>
  <c r="G104" i="25"/>
  <c r="I103" i="25"/>
  <c r="G103" i="25"/>
  <c r="I102" i="25"/>
  <c r="G102" i="25"/>
  <c r="I101" i="25"/>
  <c r="G101" i="25"/>
  <c r="I100" i="25"/>
  <c r="G100" i="25"/>
  <c r="I99" i="25"/>
  <c r="G99" i="25"/>
  <c r="I98" i="25"/>
  <c r="G98" i="25"/>
  <c r="I97" i="25"/>
  <c r="G97" i="25"/>
  <c r="I95" i="25"/>
  <c r="G95" i="25"/>
  <c r="I94" i="25"/>
  <c r="G94" i="25"/>
  <c r="I93" i="25"/>
  <c r="G93" i="25"/>
  <c r="I92" i="25"/>
  <c r="G92" i="25"/>
  <c r="I91" i="25"/>
  <c r="G91" i="25"/>
  <c r="I89" i="25"/>
  <c r="G89" i="25"/>
  <c r="I88" i="25"/>
  <c r="G88" i="25"/>
  <c r="I87" i="25"/>
  <c r="G87" i="25"/>
  <c r="I86" i="25"/>
  <c r="G86" i="25"/>
  <c r="I85" i="25"/>
  <c r="G85" i="25"/>
  <c r="I84" i="25"/>
  <c r="G84" i="25"/>
  <c r="I83" i="25"/>
  <c r="G83" i="25"/>
  <c r="I82" i="25"/>
  <c r="G82" i="25"/>
  <c r="I81" i="25"/>
  <c r="G81" i="25"/>
  <c r="I80" i="25"/>
  <c r="G80" i="25"/>
  <c r="I79" i="25"/>
  <c r="G79" i="25"/>
  <c r="I78" i="25"/>
  <c r="G78" i="25"/>
  <c r="I77" i="25"/>
  <c r="G77" i="25"/>
  <c r="I75" i="25"/>
  <c r="G75" i="25"/>
  <c r="I74" i="25"/>
  <c r="G74" i="25"/>
  <c r="I73" i="25"/>
  <c r="G73" i="25"/>
  <c r="I72" i="25"/>
  <c r="G72" i="25"/>
  <c r="I71" i="25"/>
  <c r="G71" i="25"/>
  <c r="I70" i="25"/>
  <c r="G70" i="25"/>
  <c r="I69" i="25"/>
  <c r="G69" i="25"/>
  <c r="I68" i="25"/>
  <c r="G68" i="25"/>
  <c r="I66" i="25"/>
  <c r="G66" i="25"/>
  <c r="I65" i="25"/>
  <c r="G65" i="25"/>
  <c r="I63" i="25"/>
  <c r="G63" i="25"/>
  <c r="I62" i="25"/>
  <c r="G62" i="25"/>
  <c r="I60" i="25"/>
  <c r="G60" i="25"/>
  <c r="I59" i="25"/>
  <c r="G59" i="25"/>
  <c r="I58" i="25"/>
  <c r="G58" i="25"/>
  <c r="I56" i="25"/>
  <c r="G56" i="25"/>
  <c r="I55" i="25"/>
  <c r="G55" i="25"/>
  <c r="I54" i="25"/>
  <c r="G54" i="25"/>
  <c r="I53" i="25"/>
  <c r="G53" i="25"/>
  <c r="I51" i="25"/>
  <c r="G51" i="25"/>
  <c r="I50" i="25"/>
  <c r="G50" i="25"/>
  <c r="I49" i="25"/>
  <c r="G49" i="25"/>
  <c r="I48" i="25"/>
  <c r="G48" i="25"/>
  <c r="I47" i="25"/>
  <c r="G47" i="25"/>
  <c r="I309" i="22"/>
  <c r="G309" i="22"/>
  <c r="I308" i="22"/>
  <c r="G308" i="22"/>
  <c r="I307" i="22"/>
  <c r="G307" i="22"/>
  <c r="I306" i="22"/>
  <c r="G306" i="22"/>
  <c r="I305" i="22"/>
  <c r="G305" i="22"/>
  <c r="I304" i="22"/>
  <c r="G304" i="22"/>
  <c r="I303" i="22"/>
  <c r="G303" i="22"/>
  <c r="I302" i="22"/>
  <c r="G302" i="22"/>
  <c r="I301" i="22"/>
  <c r="G301" i="22"/>
  <c r="I300" i="22"/>
  <c r="G300" i="22"/>
  <c r="I298" i="22"/>
  <c r="G298" i="22"/>
  <c r="I297" i="22"/>
  <c r="G297" i="22"/>
  <c r="I296" i="22"/>
  <c r="G296" i="22"/>
  <c r="I295" i="22"/>
  <c r="G295" i="22"/>
  <c r="I294" i="22"/>
  <c r="G294" i="22"/>
  <c r="I293" i="22"/>
  <c r="G293" i="22"/>
  <c r="I292" i="22"/>
  <c r="G292" i="22"/>
  <c r="I291" i="22"/>
  <c r="G291" i="22"/>
  <c r="I290" i="22"/>
  <c r="G290" i="22"/>
  <c r="I289" i="22"/>
  <c r="G289" i="22"/>
  <c r="I288" i="22"/>
  <c r="G288" i="22"/>
  <c r="I285" i="22"/>
  <c r="G285" i="22"/>
  <c r="I284" i="22"/>
  <c r="G284" i="22"/>
  <c r="I283" i="22"/>
  <c r="G283" i="22"/>
  <c r="I282" i="22"/>
  <c r="G282" i="22"/>
  <c r="I281" i="22"/>
  <c r="G281" i="22"/>
  <c r="I280" i="22"/>
  <c r="G280" i="22"/>
  <c r="I279" i="22"/>
  <c r="G279" i="22"/>
  <c r="I278" i="22"/>
  <c r="G278" i="22"/>
  <c r="I277" i="22"/>
  <c r="G277" i="22"/>
  <c r="I276" i="22"/>
  <c r="G276" i="22"/>
  <c r="I275" i="22"/>
  <c r="G275" i="22"/>
  <c r="I274" i="22"/>
  <c r="G274" i="22"/>
  <c r="I273" i="22"/>
  <c r="G273" i="22"/>
  <c r="I272" i="22"/>
  <c r="G272" i="22"/>
  <c r="I271" i="22"/>
  <c r="G271" i="22"/>
  <c r="I270" i="22"/>
  <c r="G270" i="22"/>
  <c r="I269" i="22"/>
  <c r="G269" i="22"/>
  <c r="I268" i="22"/>
  <c r="G268" i="22"/>
  <c r="I267" i="22"/>
  <c r="G267" i="22"/>
  <c r="I266" i="22"/>
  <c r="G266" i="22"/>
  <c r="I265" i="22"/>
  <c r="G265" i="22"/>
  <c r="I264" i="22"/>
  <c r="G264" i="22"/>
  <c r="I263" i="22"/>
  <c r="G263" i="22"/>
  <c r="I262" i="22"/>
  <c r="G262" i="22"/>
  <c r="I261" i="22"/>
  <c r="G261" i="22"/>
  <c r="I260" i="22"/>
  <c r="G260" i="22"/>
  <c r="I259" i="22"/>
  <c r="G259" i="22"/>
  <c r="I258" i="22"/>
  <c r="G258" i="22"/>
  <c r="I257" i="22"/>
  <c r="G257" i="22"/>
  <c r="I255" i="22"/>
  <c r="G255" i="22"/>
  <c r="I254" i="22"/>
  <c r="G254" i="22"/>
  <c r="I253" i="22"/>
  <c r="G253" i="22"/>
  <c r="I252" i="22"/>
  <c r="G252" i="22"/>
  <c r="I251" i="22"/>
  <c r="G251" i="22"/>
  <c r="I250" i="22"/>
  <c r="G250" i="22"/>
  <c r="I249" i="22"/>
  <c r="G249" i="22"/>
  <c r="I248" i="22"/>
  <c r="G248" i="22"/>
  <c r="I247" i="22"/>
  <c r="G247" i="22"/>
  <c r="I246" i="22"/>
  <c r="G246" i="22"/>
  <c r="I244" i="22"/>
  <c r="G244" i="22"/>
  <c r="I243" i="22"/>
  <c r="G243" i="22"/>
  <c r="I242" i="22"/>
  <c r="G242" i="22"/>
  <c r="I241" i="22"/>
  <c r="G241" i="22"/>
  <c r="I240" i="22"/>
  <c r="G240" i="22"/>
  <c r="I239" i="22"/>
  <c r="G239" i="22"/>
  <c r="I238" i="22"/>
  <c r="G238" i="22"/>
  <c r="I237" i="22"/>
  <c r="G237" i="22"/>
  <c r="I236" i="22"/>
  <c r="G236" i="22"/>
  <c r="I235" i="22"/>
  <c r="G235" i="22"/>
  <c r="I234" i="22"/>
  <c r="G234" i="22"/>
  <c r="I233" i="22"/>
  <c r="G233" i="22"/>
  <c r="I232" i="22"/>
  <c r="G232" i="22"/>
  <c r="I231" i="22"/>
  <c r="G231" i="22"/>
  <c r="I230" i="22"/>
  <c r="G230" i="22"/>
  <c r="I229" i="22"/>
  <c r="G229" i="22"/>
  <c r="I228" i="22"/>
  <c r="G228" i="22"/>
  <c r="I227" i="22"/>
  <c r="G227" i="22"/>
  <c r="I225" i="22"/>
  <c r="G225" i="22"/>
  <c r="I224" i="22"/>
  <c r="G224" i="22"/>
  <c r="I223" i="22"/>
  <c r="G223" i="22"/>
  <c r="I222" i="22"/>
  <c r="G222" i="22"/>
  <c r="I221" i="22"/>
  <c r="G221" i="22"/>
  <c r="I220" i="22"/>
  <c r="G220" i="22"/>
  <c r="I218" i="22"/>
  <c r="G218" i="22"/>
  <c r="I217" i="22"/>
  <c r="G217" i="22"/>
  <c r="I216" i="22"/>
  <c r="G216" i="22"/>
  <c r="I215" i="22"/>
  <c r="G215" i="22"/>
  <c r="I213" i="22"/>
  <c r="G213" i="22"/>
  <c r="I212" i="22"/>
  <c r="G212" i="22"/>
  <c r="I211" i="22"/>
  <c r="G211" i="22"/>
  <c r="I210" i="22"/>
  <c r="G210" i="22"/>
  <c r="I209" i="22"/>
  <c r="G209" i="22"/>
  <c r="I208" i="22"/>
  <c r="G208" i="22"/>
  <c r="I207" i="22"/>
  <c r="G207" i="22"/>
  <c r="I206" i="22"/>
  <c r="G206" i="22"/>
  <c r="I205" i="22"/>
  <c r="G205" i="22"/>
  <c r="I204" i="22"/>
  <c r="G204" i="22"/>
  <c r="I203" i="22"/>
  <c r="G203" i="22"/>
  <c r="I201" i="22"/>
  <c r="G201" i="22"/>
  <c r="I200" i="22"/>
  <c r="G200" i="22"/>
  <c r="I199" i="22"/>
  <c r="G199" i="22"/>
  <c r="I198" i="22"/>
  <c r="G198" i="22"/>
  <c r="I197" i="22"/>
  <c r="G197" i="22"/>
  <c r="I196" i="22"/>
  <c r="G196" i="22"/>
  <c r="I195" i="22"/>
  <c r="G195" i="22"/>
  <c r="I194" i="22"/>
  <c r="G194" i="22"/>
  <c r="I193" i="22"/>
  <c r="G193" i="22"/>
  <c r="I192" i="22"/>
  <c r="G192" i="22"/>
  <c r="I191" i="22"/>
  <c r="G191" i="22"/>
  <c r="I190" i="22"/>
  <c r="G190" i="22"/>
  <c r="I189" i="22"/>
  <c r="G189" i="22"/>
  <c r="I188" i="22"/>
  <c r="G188" i="22"/>
  <c r="I187" i="22"/>
  <c r="G187" i="22"/>
  <c r="I186" i="22"/>
  <c r="G186" i="22"/>
  <c r="I184" i="22"/>
  <c r="G184" i="22"/>
  <c r="I183" i="22"/>
  <c r="G183" i="22"/>
  <c r="I182" i="22"/>
  <c r="G182" i="22"/>
  <c r="I181" i="22"/>
  <c r="G181" i="22"/>
  <c r="I180" i="22"/>
  <c r="G180" i="22"/>
  <c r="I179" i="22"/>
  <c r="G179" i="22"/>
  <c r="I178" i="22"/>
  <c r="G178" i="22"/>
  <c r="I177" i="22"/>
  <c r="G177" i="22"/>
  <c r="I176" i="22"/>
  <c r="G176" i="22"/>
  <c r="I175" i="22"/>
  <c r="G175" i="22"/>
  <c r="I174" i="22"/>
  <c r="G174" i="22"/>
  <c r="I173" i="22"/>
  <c r="G173" i="22"/>
  <c r="I172" i="22"/>
  <c r="G172" i="22"/>
  <c r="I171" i="22"/>
  <c r="G171" i="22"/>
  <c r="I169" i="22"/>
  <c r="G169" i="22"/>
  <c r="I168" i="22"/>
  <c r="G168" i="22"/>
  <c r="I167" i="22"/>
  <c r="G167" i="22"/>
  <c r="I166" i="22"/>
  <c r="G166" i="22"/>
  <c r="I165" i="22"/>
  <c r="G165" i="22"/>
  <c r="I164" i="22"/>
  <c r="G164" i="22"/>
  <c r="I163" i="22"/>
  <c r="G163" i="22"/>
  <c r="I162" i="22"/>
  <c r="G162" i="22"/>
  <c r="I161" i="22"/>
  <c r="G161" i="22"/>
  <c r="I160" i="22"/>
  <c r="G160" i="22"/>
  <c r="I159" i="22"/>
  <c r="G159" i="22"/>
  <c r="I158" i="22"/>
  <c r="G158" i="22"/>
  <c r="I157" i="22"/>
  <c r="G157" i="22"/>
  <c r="I156" i="22"/>
  <c r="G156" i="22"/>
  <c r="I155" i="22"/>
  <c r="G155" i="22"/>
  <c r="I154" i="22"/>
  <c r="G154" i="22"/>
  <c r="I153" i="22"/>
  <c r="G153" i="22"/>
  <c r="I152" i="22"/>
  <c r="G152" i="22"/>
  <c r="I151" i="22"/>
  <c r="G151" i="22"/>
  <c r="I150" i="22"/>
  <c r="G150" i="22"/>
  <c r="I149" i="22"/>
  <c r="G149" i="22"/>
  <c r="I148" i="22"/>
  <c r="G148" i="22"/>
  <c r="I147" i="22"/>
  <c r="G147" i="22"/>
  <c r="I145" i="22"/>
  <c r="G145" i="22"/>
  <c r="I144" i="22"/>
  <c r="G144" i="22"/>
  <c r="I143" i="22"/>
  <c r="G143" i="22"/>
  <c r="I142" i="22"/>
  <c r="G142" i="22"/>
  <c r="I141" i="22"/>
  <c r="G141" i="22"/>
  <c r="I140" i="22"/>
  <c r="G140" i="22"/>
  <c r="I139" i="22"/>
  <c r="G139" i="22"/>
  <c r="I138" i="22"/>
  <c r="G138" i="22"/>
  <c r="I137" i="22"/>
  <c r="G137" i="22"/>
  <c r="I136" i="22"/>
  <c r="G136" i="22"/>
  <c r="I135" i="22"/>
  <c r="G135" i="22"/>
  <c r="I134" i="22"/>
  <c r="G134" i="22"/>
  <c r="I133" i="22"/>
  <c r="G133" i="22"/>
  <c r="I132" i="22"/>
  <c r="G132" i="22"/>
  <c r="I131" i="22"/>
  <c r="G131" i="22"/>
  <c r="I130" i="22"/>
  <c r="G130" i="22"/>
  <c r="I129" i="22"/>
  <c r="G129" i="22"/>
  <c r="I128" i="22"/>
  <c r="G128" i="22"/>
  <c r="I126" i="22"/>
  <c r="G126" i="22"/>
  <c r="I125" i="22"/>
  <c r="G125" i="22"/>
  <c r="I124" i="22"/>
  <c r="G124" i="22"/>
  <c r="I123" i="22"/>
  <c r="G123" i="22"/>
  <c r="I122" i="22"/>
  <c r="G122" i="22"/>
  <c r="I121" i="22"/>
  <c r="G121" i="22"/>
  <c r="I120" i="22"/>
  <c r="G120" i="22"/>
  <c r="I119" i="22"/>
  <c r="G119" i="22"/>
  <c r="I118" i="22"/>
  <c r="G118" i="22"/>
  <c r="I117" i="22"/>
  <c r="G117" i="22"/>
  <c r="I116" i="22"/>
  <c r="G116" i="22"/>
  <c r="I115" i="22"/>
  <c r="G115" i="22"/>
  <c r="I114" i="22"/>
  <c r="G114" i="22"/>
  <c r="I113" i="22"/>
  <c r="G113" i="22"/>
  <c r="I112" i="22"/>
  <c r="G112" i="22"/>
  <c r="I110" i="22"/>
  <c r="G110" i="22"/>
  <c r="I109" i="22"/>
  <c r="G109" i="22"/>
  <c r="I108" i="22"/>
  <c r="G108" i="22"/>
  <c r="I107" i="22"/>
  <c r="G107" i="22"/>
  <c r="I106" i="22"/>
  <c r="G106" i="22"/>
  <c r="I105" i="22"/>
  <c r="G105" i="22"/>
  <c r="I104" i="22"/>
  <c r="G104" i="22"/>
  <c r="I103" i="22"/>
  <c r="G103" i="22"/>
  <c r="I102" i="22"/>
  <c r="G102" i="22"/>
  <c r="I101" i="22"/>
  <c r="G101" i="22"/>
  <c r="I100" i="22"/>
  <c r="G100" i="22"/>
  <c r="I99" i="22"/>
  <c r="G99" i="22"/>
  <c r="I98" i="22"/>
  <c r="G98" i="22"/>
  <c r="I97" i="22"/>
  <c r="G97" i="22"/>
  <c r="I96" i="22"/>
  <c r="G96" i="22"/>
  <c r="I95" i="22"/>
  <c r="G95" i="22"/>
  <c r="I93" i="22"/>
  <c r="G93" i="22"/>
  <c r="I92" i="22"/>
  <c r="G92" i="22"/>
  <c r="I91" i="22"/>
  <c r="G91" i="22"/>
  <c r="I90" i="22"/>
  <c r="G90" i="22"/>
  <c r="I89" i="22"/>
  <c r="G89" i="22"/>
  <c r="I87" i="22"/>
  <c r="G87" i="22"/>
  <c r="I86" i="22"/>
  <c r="G86" i="22"/>
  <c r="I85" i="22"/>
  <c r="G85" i="22"/>
  <c r="I84" i="22"/>
  <c r="G84" i="22"/>
  <c r="I83" i="22"/>
  <c r="G83" i="22"/>
  <c r="I82" i="22"/>
  <c r="G82" i="22"/>
  <c r="I81" i="22"/>
  <c r="G81" i="22"/>
  <c r="I79" i="22"/>
  <c r="G79" i="22"/>
  <c r="I78" i="22"/>
  <c r="G78" i="22"/>
  <c r="I77" i="22"/>
  <c r="G77" i="22"/>
  <c r="I76" i="22"/>
  <c r="G76" i="22"/>
  <c r="I75" i="22"/>
  <c r="G75" i="22"/>
  <c r="I74" i="22"/>
  <c r="G74" i="22"/>
  <c r="I73" i="22"/>
  <c r="G73" i="22"/>
  <c r="I72" i="22"/>
  <c r="G72" i="22"/>
  <c r="I70" i="22"/>
  <c r="G70" i="22"/>
  <c r="I69" i="22"/>
  <c r="G69" i="22"/>
  <c r="I68" i="22"/>
  <c r="G68" i="22"/>
  <c r="I67" i="22"/>
  <c r="G67" i="22"/>
  <c r="I64" i="22"/>
  <c r="G64" i="22"/>
  <c r="I63" i="22"/>
  <c r="G63" i="22"/>
  <c r="I62" i="22"/>
  <c r="G62" i="22"/>
  <c r="I61" i="22"/>
  <c r="G61" i="22"/>
  <c r="I60" i="22"/>
  <c r="G60" i="22"/>
  <c r="I59" i="22"/>
  <c r="G59" i="22"/>
  <c r="I58" i="22"/>
  <c r="G58" i="22"/>
  <c r="I57" i="22"/>
  <c r="G57" i="22"/>
  <c r="I56" i="22"/>
  <c r="G56" i="22"/>
  <c r="G66" i="22"/>
  <c r="I66" i="22"/>
  <c r="J259" i="25"/>
  <c r="H259" i="25"/>
  <c r="F259" i="25"/>
  <c r="J258" i="25"/>
  <c r="H258" i="25"/>
  <c r="F258" i="25"/>
  <c r="J257" i="25"/>
  <c r="H257" i="25"/>
  <c r="F257" i="25"/>
  <c r="J256" i="25"/>
  <c r="H256" i="25"/>
  <c r="F256" i="25"/>
  <c r="J255" i="25"/>
  <c r="H255" i="25"/>
  <c r="F255" i="25"/>
  <c r="J254" i="25"/>
  <c r="H254" i="25"/>
  <c r="F254" i="25"/>
  <c r="J253" i="25"/>
  <c r="H253" i="25"/>
  <c r="F253" i="25"/>
  <c r="J252" i="25"/>
  <c r="H252" i="25"/>
  <c r="F252" i="25"/>
  <c r="J251" i="25"/>
  <c r="H251" i="25"/>
  <c r="F251" i="25"/>
  <c r="J250" i="25"/>
  <c r="H250" i="25"/>
  <c r="F250" i="25"/>
  <c r="J249" i="25"/>
  <c r="H249" i="25"/>
  <c r="F249" i="25"/>
  <c r="J248" i="25"/>
  <c r="H248" i="25"/>
  <c r="F248" i="25"/>
  <c r="J246" i="25"/>
  <c r="H246" i="25"/>
  <c r="F246" i="25"/>
  <c r="J245" i="25"/>
  <c r="H245" i="25"/>
  <c r="F245" i="25"/>
  <c r="J244" i="25"/>
  <c r="H244" i="25"/>
  <c r="F244" i="25"/>
  <c r="J243" i="25"/>
  <c r="H243" i="25"/>
  <c r="F243" i="25"/>
  <c r="J242" i="25"/>
  <c r="H242" i="25"/>
  <c r="F242" i="25"/>
  <c r="J241" i="25"/>
  <c r="H241" i="25"/>
  <c r="F241" i="25"/>
  <c r="J240" i="25"/>
  <c r="H240" i="25"/>
  <c r="F240" i="25"/>
  <c r="J239" i="25"/>
  <c r="H239" i="25"/>
  <c r="F239" i="25"/>
  <c r="J238" i="25"/>
  <c r="H238" i="25"/>
  <c r="F238" i="25"/>
  <c r="J237" i="25"/>
  <c r="H237" i="25"/>
  <c r="F237" i="25"/>
  <c r="J236" i="25"/>
  <c r="H236" i="25"/>
  <c r="F236" i="25"/>
  <c r="J235" i="25"/>
  <c r="H235" i="25"/>
  <c r="F235" i="25"/>
  <c r="J234" i="25"/>
  <c r="H234" i="25"/>
  <c r="F234" i="25"/>
  <c r="J233" i="25"/>
  <c r="H233" i="25"/>
  <c r="F233" i="25"/>
  <c r="J232" i="25"/>
  <c r="H232" i="25"/>
  <c r="F232" i="25"/>
  <c r="J231" i="25"/>
  <c r="H231" i="25"/>
  <c r="F231" i="25"/>
  <c r="J230" i="25"/>
  <c r="H230" i="25"/>
  <c r="F230" i="25"/>
  <c r="J229" i="25"/>
  <c r="H229" i="25"/>
  <c r="F229" i="25"/>
  <c r="J228" i="25"/>
  <c r="H228" i="25"/>
  <c r="F228" i="25"/>
  <c r="J227" i="25"/>
  <c r="H227" i="25"/>
  <c r="F227" i="25"/>
  <c r="J226" i="25"/>
  <c r="H226" i="25"/>
  <c r="F226" i="25"/>
  <c r="J225" i="25"/>
  <c r="H225" i="25"/>
  <c r="F225" i="25"/>
  <c r="J224" i="25"/>
  <c r="H224" i="25"/>
  <c r="F224" i="25"/>
  <c r="J223" i="25"/>
  <c r="H223" i="25"/>
  <c r="F223" i="25"/>
  <c r="J222" i="25"/>
  <c r="H222" i="25"/>
  <c r="F222" i="25"/>
  <c r="J221" i="25"/>
  <c r="H221" i="25"/>
  <c r="F221" i="25"/>
  <c r="J220" i="25"/>
  <c r="H220" i="25"/>
  <c r="F220" i="25"/>
  <c r="J219" i="25"/>
  <c r="H219" i="25"/>
  <c r="F219" i="25"/>
  <c r="J218" i="25"/>
  <c r="H218" i="25"/>
  <c r="F218" i="25"/>
  <c r="J216" i="25"/>
  <c r="H216" i="25"/>
  <c r="F216" i="25"/>
  <c r="J215" i="25"/>
  <c r="H215" i="25"/>
  <c r="F215" i="25"/>
  <c r="J214" i="25"/>
  <c r="H214" i="25"/>
  <c r="F214" i="25"/>
  <c r="J213" i="25"/>
  <c r="H213" i="25"/>
  <c r="F213" i="25"/>
  <c r="J211" i="25"/>
  <c r="H211" i="25"/>
  <c r="F211" i="25"/>
  <c r="J210" i="25"/>
  <c r="H210" i="25"/>
  <c r="F210" i="25"/>
  <c r="J209" i="25"/>
  <c r="H209" i="25"/>
  <c r="F209" i="25"/>
  <c r="J208" i="25"/>
  <c r="H208" i="25"/>
  <c r="F208" i="25"/>
  <c r="J206" i="25"/>
  <c r="H206" i="25"/>
  <c r="F206" i="25"/>
  <c r="J205" i="25"/>
  <c r="H205" i="25"/>
  <c r="F205" i="25"/>
  <c r="J204" i="25"/>
  <c r="H204" i="25"/>
  <c r="F204" i="25"/>
  <c r="J203" i="25"/>
  <c r="H203" i="25"/>
  <c r="F203" i="25"/>
  <c r="J202" i="25"/>
  <c r="H202" i="25"/>
  <c r="F202" i="25"/>
  <c r="J201" i="25"/>
  <c r="H201" i="25"/>
  <c r="F201" i="25"/>
  <c r="J200" i="25"/>
  <c r="H200" i="25"/>
  <c r="F200" i="25"/>
  <c r="J198" i="25"/>
  <c r="H198" i="25"/>
  <c r="F198" i="25"/>
  <c r="J197" i="25"/>
  <c r="H197" i="25"/>
  <c r="F197" i="25"/>
  <c r="J196" i="25"/>
  <c r="H196" i="25"/>
  <c r="F196" i="25"/>
  <c r="J195" i="25"/>
  <c r="H195" i="25"/>
  <c r="F195" i="25"/>
  <c r="J194" i="25"/>
  <c r="H194" i="25"/>
  <c r="F194" i="25"/>
  <c r="J193" i="25"/>
  <c r="H193" i="25"/>
  <c r="F193" i="25"/>
  <c r="J191" i="25"/>
  <c r="H191" i="25"/>
  <c r="F191" i="25"/>
  <c r="J190" i="25"/>
  <c r="H190" i="25"/>
  <c r="F190" i="25"/>
  <c r="J188" i="25"/>
  <c r="H188" i="25"/>
  <c r="F188" i="25"/>
  <c r="J187" i="25"/>
  <c r="H187" i="25"/>
  <c r="F187" i="25"/>
  <c r="J186" i="25"/>
  <c r="H186" i="25"/>
  <c r="F186" i="25"/>
  <c r="J185" i="25"/>
  <c r="H185" i="25"/>
  <c r="F185" i="25"/>
  <c r="J184" i="25"/>
  <c r="H184" i="25"/>
  <c r="F184" i="25"/>
  <c r="J183" i="25"/>
  <c r="H183" i="25"/>
  <c r="F183" i="25"/>
  <c r="J182" i="25"/>
  <c r="H182" i="25"/>
  <c r="F182" i="25"/>
  <c r="J181" i="25"/>
  <c r="H181" i="25"/>
  <c r="F181" i="25"/>
  <c r="J180" i="25"/>
  <c r="H180" i="25"/>
  <c r="F180" i="25"/>
  <c r="J179" i="25"/>
  <c r="H179" i="25"/>
  <c r="F179" i="25"/>
  <c r="J178" i="25"/>
  <c r="H178" i="25"/>
  <c r="F178" i="25"/>
  <c r="J177" i="25"/>
  <c r="H177" i="25"/>
  <c r="F177" i="25"/>
  <c r="J176" i="25"/>
  <c r="H176" i="25"/>
  <c r="F176" i="25"/>
  <c r="J175" i="25"/>
  <c r="H175" i="25"/>
  <c r="F175" i="25"/>
  <c r="J174" i="25"/>
  <c r="H174" i="25"/>
  <c r="F174" i="25"/>
  <c r="J172" i="25"/>
  <c r="H172" i="25"/>
  <c r="F172" i="25"/>
  <c r="J171" i="25"/>
  <c r="H171" i="25"/>
  <c r="F171" i="25"/>
  <c r="J169" i="25"/>
  <c r="H169" i="25"/>
  <c r="F169" i="25"/>
  <c r="J168" i="25"/>
  <c r="H168" i="25"/>
  <c r="F168" i="25"/>
  <c r="J167" i="25"/>
  <c r="H167" i="25"/>
  <c r="F167" i="25"/>
  <c r="J166" i="25"/>
  <c r="H166" i="25"/>
  <c r="F166" i="25"/>
  <c r="J165" i="25"/>
  <c r="H165" i="25"/>
  <c r="F165" i="25"/>
  <c r="J163" i="25"/>
  <c r="H163" i="25"/>
  <c r="F163" i="25"/>
  <c r="J162" i="25"/>
  <c r="H162" i="25"/>
  <c r="F162" i="25"/>
  <c r="J161" i="25"/>
  <c r="H161" i="25"/>
  <c r="F161" i="25"/>
  <c r="J159" i="25"/>
  <c r="H159" i="25"/>
  <c r="F159" i="25"/>
  <c r="J158" i="25"/>
  <c r="H158" i="25"/>
  <c r="F158" i="25"/>
  <c r="J157" i="25"/>
  <c r="H157" i="25"/>
  <c r="F157" i="25"/>
  <c r="J156" i="25"/>
  <c r="H156" i="25"/>
  <c r="F156" i="25"/>
  <c r="J155" i="25"/>
  <c r="H155" i="25"/>
  <c r="F155" i="25"/>
  <c r="J154" i="25"/>
  <c r="H154" i="25"/>
  <c r="F154" i="25"/>
  <c r="J153" i="25"/>
  <c r="H153" i="25"/>
  <c r="F153" i="25"/>
  <c r="J152" i="25"/>
  <c r="H152" i="25"/>
  <c r="F152" i="25"/>
  <c r="J151" i="25"/>
  <c r="H151" i="25"/>
  <c r="F151" i="25"/>
  <c r="J149" i="25"/>
  <c r="H149" i="25"/>
  <c r="F149" i="25"/>
  <c r="J148" i="25"/>
  <c r="H148" i="25"/>
  <c r="F148" i="25"/>
  <c r="J147" i="25"/>
  <c r="H147" i="25"/>
  <c r="F147" i="25"/>
  <c r="J146" i="25"/>
  <c r="H146" i="25"/>
  <c r="F146" i="25"/>
  <c r="J144" i="25"/>
  <c r="H144" i="25"/>
  <c r="F144" i="25"/>
  <c r="J143" i="25"/>
  <c r="H143" i="25"/>
  <c r="F143" i="25"/>
  <c r="J141" i="25"/>
  <c r="H141" i="25"/>
  <c r="F141" i="25"/>
  <c r="J140" i="25"/>
  <c r="H140" i="25"/>
  <c r="F140" i="25"/>
  <c r="J139" i="25"/>
  <c r="H139" i="25"/>
  <c r="F139" i="25"/>
  <c r="J138" i="25"/>
  <c r="H138" i="25"/>
  <c r="F138" i="25"/>
  <c r="J137" i="25"/>
  <c r="H137" i="25"/>
  <c r="F137" i="25"/>
  <c r="J136" i="25"/>
  <c r="H136" i="25"/>
  <c r="F136" i="25"/>
  <c r="F132" i="25"/>
  <c r="H132" i="25"/>
  <c r="J132" i="25"/>
  <c r="F133" i="25"/>
  <c r="H133" i="25"/>
  <c r="J133" i="25"/>
  <c r="F134" i="25"/>
  <c r="H134" i="25"/>
  <c r="J134" i="25"/>
  <c r="J131" i="25"/>
  <c r="H131" i="25"/>
  <c r="F131" i="25"/>
  <c r="F127" i="25"/>
  <c r="H127" i="25"/>
  <c r="J127" i="25"/>
  <c r="F128" i="25"/>
  <c r="H128" i="25"/>
  <c r="J128" i="25"/>
  <c r="F129" i="25"/>
  <c r="H129" i="25"/>
  <c r="J129" i="25"/>
  <c r="J126" i="25"/>
  <c r="H126" i="25"/>
  <c r="F126" i="25"/>
  <c r="E64" i="22"/>
  <c r="E63" i="22"/>
  <c r="E62" i="22"/>
  <c r="E61" i="22"/>
  <c r="E60" i="22"/>
  <c r="E59" i="22"/>
  <c r="E58" i="22"/>
  <c r="E57" i="22"/>
  <c r="E56" i="22"/>
  <c r="B91" i="14"/>
  <c r="A10" i="22"/>
  <c r="E50" i="10"/>
  <c r="E201" i="22" s="1"/>
  <c r="E49" i="10"/>
  <c r="E200" i="22" s="1"/>
  <c r="E48" i="10"/>
  <c r="E199" i="22" s="1"/>
  <c r="E45" i="10"/>
  <c r="E196" i="22" s="1"/>
  <c r="E47" i="10"/>
  <c r="E198" i="22" s="1"/>
  <c r="E46" i="10"/>
  <c r="E197" i="22" s="1"/>
  <c r="E44" i="10"/>
  <c r="E195" i="22" s="1"/>
  <c r="E43" i="10"/>
  <c r="E194" i="22" s="1"/>
  <c r="E42" i="10"/>
  <c r="E193" i="22" s="1"/>
  <c r="E41" i="10"/>
  <c r="E192" i="22" s="1"/>
  <c r="E40" i="10"/>
  <c r="E191" i="22" s="1"/>
  <c r="E39" i="10"/>
  <c r="E190" i="22" s="1"/>
  <c r="E38" i="10"/>
  <c r="E189" i="22" s="1"/>
  <c r="E37" i="10"/>
  <c r="E188" i="22" s="1"/>
  <c r="E191" i="25" s="1"/>
  <c r="E36" i="10"/>
  <c r="E187" i="22" s="1"/>
  <c r="A23" i="16"/>
  <c r="E22" i="8" l="1"/>
  <c r="E81" i="22" s="1"/>
  <c r="E136" i="25" s="1"/>
  <c r="A351" i="16"/>
  <c r="C351" i="16"/>
  <c r="D351" i="16"/>
  <c r="I2" i="25"/>
  <c r="J2" i="21"/>
  <c r="I2" i="22"/>
  <c r="F2" i="14"/>
  <c r="F2" i="13"/>
  <c r="F2" i="12"/>
  <c r="F2" i="11"/>
  <c r="F2" i="10"/>
  <c r="F2" i="9"/>
  <c r="F2" i="8"/>
  <c r="F2" i="4"/>
  <c r="A10" i="25" l="1"/>
  <c r="A43" i="25"/>
  <c r="A52" i="22"/>
  <c r="A9" i="22"/>
  <c r="A11" i="4"/>
  <c r="A11" i="8"/>
  <c r="A11" i="14"/>
  <c r="A11" i="13"/>
  <c r="A11" i="12"/>
  <c r="A11" i="11"/>
  <c r="A11" i="10"/>
  <c r="A11" i="9"/>
  <c r="A10" i="8"/>
  <c r="C17" i="25" l="1"/>
  <c r="C15" i="21"/>
  <c r="C17" i="22"/>
  <c r="E35" i="10"/>
  <c r="E186" i="22" s="1"/>
  <c r="E190" i="25" s="1"/>
  <c r="A7" i="21"/>
  <c r="A6" i="21"/>
  <c r="A5" i="21"/>
  <c r="A42" i="25"/>
  <c r="A41" i="25"/>
  <c r="A40" i="25"/>
  <c r="A39" i="25"/>
  <c r="A38" i="25"/>
  <c r="A9" i="25"/>
  <c r="A8" i="25"/>
  <c r="A7" i="25"/>
  <c r="A6" i="25"/>
  <c r="A5" i="25"/>
  <c r="A51" i="22"/>
  <c r="A50" i="22"/>
  <c r="A49" i="22"/>
  <c r="A48" i="22"/>
  <c r="A47" i="22"/>
  <c r="A8" i="22"/>
  <c r="A7" i="22"/>
  <c r="A6" i="22"/>
  <c r="A5" i="22"/>
  <c r="A10" i="4"/>
  <c r="A9" i="4"/>
  <c r="A8" i="4"/>
  <c r="A7" i="4"/>
  <c r="A6" i="4"/>
  <c r="A5" i="4"/>
  <c r="A9" i="8"/>
  <c r="A8" i="8"/>
  <c r="A7" i="8"/>
  <c r="A6" i="8"/>
  <c r="A5" i="8"/>
  <c r="A10" i="9"/>
  <c r="A9" i="9"/>
  <c r="A8" i="9"/>
  <c r="A7" i="9"/>
  <c r="A6" i="9"/>
  <c r="A5" i="9"/>
  <c r="A10" i="10"/>
  <c r="A9" i="10"/>
  <c r="A8" i="10"/>
  <c r="A7" i="10"/>
  <c r="A6" i="10"/>
  <c r="A5" i="10"/>
  <c r="A10" i="14"/>
  <c r="A9" i="14"/>
  <c r="A8" i="14"/>
  <c r="A7" i="14"/>
  <c r="A6" i="14"/>
  <c r="A5" i="14"/>
  <c r="A10" i="13"/>
  <c r="A9" i="13"/>
  <c r="A8" i="13"/>
  <c r="A7" i="13"/>
  <c r="A6" i="13"/>
  <c r="A5" i="13"/>
  <c r="A10" i="12"/>
  <c r="A9" i="12"/>
  <c r="A8" i="12"/>
  <c r="A7" i="12"/>
  <c r="A6" i="12"/>
  <c r="A5" i="12"/>
  <c r="A10" i="11"/>
  <c r="A9" i="11"/>
  <c r="A8" i="11"/>
  <c r="A7" i="11"/>
  <c r="A6" i="11"/>
  <c r="A5" i="11"/>
  <c r="X334" i="2" l="1"/>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X7" i="2"/>
  <c r="X6" i="2"/>
  <c r="X5" i="2"/>
  <c r="X4" i="2"/>
  <c r="X3" i="2"/>
  <c r="A96" i="25" l="1"/>
  <c r="C3" i="8" l="1"/>
  <c r="B104" i="16"/>
  <c r="A366" i="16"/>
  <c r="A357" i="16"/>
  <c r="A345" i="16"/>
  <c r="A339" i="16"/>
  <c r="A336" i="16"/>
  <c r="A327" i="16"/>
  <c r="A311" i="16"/>
  <c r="A305" i="16"/>
  <c r="A291" i="16"/>
  <c r="A282" i="16"/>
  <c r="A279" i="16"/>
  <c r="A276" i="16"/>
  <c r="A272" i="16"/>
  <c r="A267" i="16"/>
  <c r="A261" i="16"/>
  <c r="A250" i="16"/>
  <c r="A237" i="16"/>
  <c r="A207" i="16"/>
  <c r="A200" i="16"/>
  <c r="A195" i="16"/>
  <c r="A179" i="16"/>
  <c r="A167" i="16"/>
  <c r="A150" i="16"/>
  <c r="A126" i="16"/>
  <c r="A109" i="16"/>
  <c r="A90" i="16"/>
  <c r="A75" i="16"/>
  <c r="A65" i="16"/>
  <c r="A59" i="16"/>
  <c r="A40" i="16"/>
  <c r="A32" i="16"/>
  <c r="A17" i="16"/>
  <c r="A7" i="16"/>
  <c r="C3" i="14"/>
  <c r="C3" i="13"/>
  <c r="C3" i="12"/>
  <c r="C3" i="11"/>
  <c r="C3" i="10"/>
  <c r="C3" i="9"/>
  <c r="B27" i="8" l="1"/>
  <c r="B27" i="4"/>
  <c r="A247" i="25" l="1"/>
  <c r="A217" i="25"/>
  <c r="A212" i="25"/>
  <c r="A207" i="25"/>
  <c r="A199" i="25"/>
  <c r="A192" i="25"/>
  <c r="A189" i="25"/>
  <c r="A173" i="25"/>
  <c r="A170" i="25"/>
  <c r="A164" i="25"/>
  <c r="A160" i="25"/>
  <c r="A150" i="25"/>
  <c r="A145" i="25"/>
  <c r="A142" i="25"/>
  <c r="A130" i="25"/>
  <c r="A135" i="25"/>
  <c r="B259" i="25"/>
  <c r="B258" i="25"/>
  <c r="B257" i="25"/>
  <c r="B256" i="25"/>
  <c r="B255" i="25"/>
  <c r="B254" i="25"/>
  <c r="B253" i="25"/>
  <c r="B252" i="25"/>
  <c r="B251" i="25"/>
  <c r="B250" i="25"/>
  <c r="B249" i="25"/>
  <c r="B248" i="25"/>
  <c r="B246" i="25"/>
  <c r="B245" i="25"/>
  <c r="B244" i="25"/>
  <c r="B243" i="25"/>
  <c r="B242" i="25"/>
  <c r="B241" i="25"/>
  <c r="B240" i="25"/>
  <c r="B239" i="25"/>
  <c r="B238" i="25"/>
  <c r="B237" i="25"/>
  <c r="B236" i="25"/>
  <c r="B235" i="25"/>
  <c r="B234" i="25"/>
  <c r="B233" i="25"/>
  <c r="B232" i="25"/>
  <c r="B231" i="25"/>
  <c r="B230" i="25"/>
  <c r="B229" i="25"/>
  <c r="B228" i="25"/>
  <c r="B227" i="25"/>
  <c r="B226" i="25"/>
  <c r="B225" i="25"/>
  <c r="B224" i="25"/>
  <c r="B223" i="25"/>
  <c r="B222" i="25"/>
  <c r="B221" i="25"/>
  <c r="B220" i="25"/>
  <c r="B219" i="25"/>
  <c r="B218" i="25"/>
  <c r="B216" i="25"/>
  <c r="B215" i="25"/>
  <c r="B214" i="25"/>
  <c r="B213" i="25"/>
  <c r="B211" i="25"/>
  <c r="B210" i="25"/>
  <c r="B209" i="25"/>
  <c r="B208" i="25"/>
  <c r="B206" i="25"/>
  <c r="B205" i="25"/>
  <c r="B204" i="25"/>
  <c r="B203" i="25"/>
  <c r="B202" i="25"/>
  <c r="B201" i="25"/>
  <c r="B200" i="25"/>
  <c r="B198" i="25"/>
  <c r="B197" i="25"/>
  <c r="B196" i="25"/>
  <c r="B195" i="25"/>
  <c r="B194" i="25"/>
  <c r="B193" i="25"/>
  <c r="B191" i="25"/>
  <c r="B190" i="25"/>
  <c r="B188" i="25"/>
  <c r="B187" i="25"/>
  <c r="B186" i="25"/>
  <c r="B185" i="25"/>
  <c r="B184" i="25"/>
  <c r="B183" i="25"/>
  <c r="B182" i="25"/>
  <c r="B181" i="25"/>
  <c r="B180" i="25"/>
  <c r="B179" i="25"/>
  <c r="B178" i="25"/>
  <c r="B177" i="25"/>
  <c r="B176" i="25"/>
  <c r="B175" i="25"/>
  <c r="B174" i="25"/>
  <c r="B172" i="25"/>
  <c r="B171" i="25"/>
  <c r="B169" i="25"/>
  <c r="B168" i="25"/>
  <c r="B167" i="25"/>
  <c r="B166" i="25"/>
  <c r="B165" i="25"/>
  <c r="B163" i="25"/>
  <c r="B162" i="25"/>
  <c r="B161" i="25"/>
  <c r="B159" i="25"/>
  <c r="B158" i="25"/>
  <c r="B157" i="25"/>
  <c r="B156" i="25"/>
  <c r="B155" i="25"/>
  <c r="B154" i="25"/>
  <c r="B153" i="25"/>
  <c r="B152" i="25"/>
  <c r="B151" i="25"/>
  <c r="B149" i="25"/>
  <c r="B148" i="25"/>
  <c r="B147" i="25"/>
  <c r="B146" i="25"/>
  <c r="B144" i="25"/>
  <c r="B143" i="25"/>
  <c r="B141" i="25"/>
  <c r="B140" i="25"/>
  <c r="B139" i="25"/>
  <c r="B138" i="25"/>
  <c r="B137" i="25"/>
  <c r="B136" i="25"/>
  <c r="B134" i="25"/>
  <c r="B133" i="25"/>
  <c r="B132" i="25"/>
  <c r="B131" i="25"/>
  <c r="B129" i="25"/>
  <c r="B128" i="25"/>
  <c r="B127" i="25"/>
  <c r="B126" i="25"/>
  <c r="A125" i="25"/>
  <c r="G38" i="22"/>
  <c r="A79" i="22"/>
  <c r="G134" i="25" s="1"/>
  <c r="A78" i="22"/>
  <c r="A24" i="20"/>
  <c r="B22" i="14"/>
  <c r="E36" i="4"/>
  <c r="E79" i="22" s="1"/>
  <c r="E134" i="25" s="1"/>
  <c r="B36" i="4"/>
  <c r="E35" i="4"/>
  <c r="E78" i="22" s="1"/>
  <c r="B35" i="4"/>
  <c r="G24" i="20" l="1"/>
  <c r="H24" i="20"/>
  <c r="J24" i="20"/>
  <c r="D24" i="20"/>
  <c r="C24" i="20"/>
  <c r="B24" i="20"/>
  <c r="E24" i="20"/>
  <c r="I134" i="25"/>
  <c r="B120" i="25"/>
  <c r="B119" i="25"/>
  <c r="B118" i="25"/>
  <c r="B117" i="25"/>
  <c r="B116" i="25"/>
  <c r="B115" i="25"/>
  <c r="B114" i="25"/>
  <c r="B113" i="25"/>
  <c r="A112" i="25"/>
  <c r="B111" i="25"/>
  <c r="B110" i="25"/>
  <c r="B109" i="25"/>
  <c r="B108" i="25"/>
  <c r="B107" i="25"/>
  <c r="B106" i="25"/>
  <c r="B105" i="25"/>
  <c r="B104" i="25"/>
  <c r="B103" i="25"/>
  <c r="B102" i="25"/>
  <c r="B101" i="25"/>
  <c r="B100" i="25"/>
  <c r="B99" i="25"/>
  <c r="B98" i="25"/>
  <c r="B97" i="25"/>
  <c r="B95" i="25"/>
  <c r="B94" i="25"/>
  <c r="B93" i="25"/>
  <c r="B92" i="25"/>
  <c r="B91" i="25"/>
  <c r="A90" i="25"/>
  <c r="B89" i="25"/>
  <c r="B88" i="25"/>
  <c r="B87" i="25"/>
  <c r="B86" i="25"/>
  <c r="B85" i="25"/>
  <c r="B84" i="25"/>
  <c r="B83" i="25"/>
  <c r="B82" i="25"/>
  <c r="B81" i="25"/>
  <c r="B80" i="25"/>
  <c r="B79" i="25"/>
  <c r="B78" i="25"/>
  <c r="B77" i="25"/>
  <c r="A76" i="25"/>
  <c r="B75" i="25"/>
  <c r="B74" i="25"/>
  <c r="B73" i="25"/>
  <c r="B72" i="25"/>
  <c r="B71" i="25"/>
  <c r="B70" i="25"/>
  <c r="B69" i="25"/>
  <c r="B68" i="25"/>
  <c r="A67" i="25"/>
  <c r="B66" i="25"/>
  <c r="B65" i="25"/>
  <c r="A64" i="25"/>
  <c r="B63" i="25"/>
  <c r="B62" i="25"/>
  <c r="A61" i="25"/>
  <c r="B60" i="25"/>
  <c r="B59" i="25"/>
  <c r="B58" i="25"/>
  <c r="A57" i="25"/>
  <c r="B56" i="25"/>
  <c r="B55" i="25"/>
  <c r="B54" i="25"/>
  <c r="B53" i="25"/>
  <c r="A52" i="25"/>
  <c r="B51" i="25"/>
  <c r="B50" i="25"/>
  <c r="B49" i="25"/>
  <c r="B48" i="25"/>
  <c r="B47" i="25"/>
  <c r="A46" i="25"/>
  <c r="B30" i="25"/>
  <c r="G30" i="25" s="1"/>
  <c r="B29" i="25"/>
  <c r="G29" i="25" s="1"/>
  <c r="B28" i="25"/>
  <c r="G28" i="25" s="1"/>
  <c r="B27" i="25"/>
  <c r="G27" i="25" s="1"/>
  <c r="B26" i="25"/>
  <c r="G26" i="25" s="1"/>
  <c r="B25" i="25"/>
  <c r="G25" i="25" s="1"/>
  <c r="B24" i="25"/>
  <c r="G24" i="25" s="1"/>
  <c r="B23" i="25"/>
  <c r="G23" i="25" s="1"/>
  <c r="B22" i="25"/>
  <c r="G22" i="25" s="1"/>
  <c r="B21" i="25"/>
  <c r="G21" i="25" s="1"/>
  <c r="I24" i="20" l="1"/>
  <c r="B37" i="22"/>
  <c r="G37" i="22" s="1"/>
  <c r="C17" i="14"/>
  <c r="C16" i="14"/>
  <c r="C15" i="14"/>
  <c r="C14" i="14"/>
  <c r="C13" i="14"/>
  <c r="C16" i="13"/>
  <c r="C15" i="13"/>
  <c r="C14" i="13"/>
  <c r="C13" i="13"/>
  <c r="C16" i="12"/>
  <c r="C15" i="12"/>
  <c r="C14" i="12"/>
  <c r="C13" i="12"/>
  <c r="C16" i="11"/>
  <c r="C15" i="11"/>
  <c r="C14" i="11"/>
  <c r="C13" i="11"/>
  <c r="C16" i="10"/>
  <c r="C15" i="10"/>
  <c r="C14" i="10"/>
  <c r="C13" i="10"/>
  <c r="C16" i="9"/>
  <c r="C15" i="9"/>
  <c r="C14" i="9"/>
  <c r="C13" i="9"/>
  <c r="C14" i="8"/>
  <c r="C15" i="8"/>
  <c r="C16" i="8"/>
  <c r="C17" i="8"/>
  <c r="C18" i="8"/>
  <c r="C19" i="8"/>
  <c r="C20" i="8"/>
  <c r="C13" i="8"/>
  <c r="A227" i="22"/>
  <c r="A226" i="22" s="1"/>
  <c r="A228" i="22"/>
  <c r="A229" i="22"/>
  <c r="A230" i="22"/>
  <c r="A231" i="22"/>
  <c r="G143" i="25" s="1"/>
  <c r="A232" i="22"/>
  <c r="A233" i="22"/>
  <c r="G144" i="25" s="1"/>
  <c r="A234" i="22"/>
  <c r="A235" i="22"/>
  <c r="A236" i="22"/>
  <c r="A237" i="22"/>
  <c r="A238" i="22"/>
  <c r="A239" i="22"/>
  <c r="A240" i="22"/>
  <c r="A241" i="22"/>
  <c r="A242" i="22"/>
  <c r="A243" i="22"/>
  <c r="A244" i="22"/>
  <c r="A311" i="22"/>
  <c r="A312" i="22"/>
  <c r="A314" i="22"/>
  <c r="A315" i="22"/>
  <c r="A316" i="22"/>
  <c r="A317" i="22"/>
  <c r="A318" i="22"/>
  <c r="A320" i="22"/>
  <c r="A321" i="22"/>
  <c r="A322" i="22"/>
  <c r="A323" i="22"/>
  <c r="A324" i="22"/>
  <c r="A326" i="22"/>
  <c r="A327" i="22"/>
  <c r="A328" i="22"/>
  <c r="A329" i="22"/>
  <c r="A330" i="22"/>
  <c r="A332" i="22"/>
  <c r="A333" i="22"/>
  <c r="A334" i="22"/>
  <c r="A335" i="22"/>
  <c r="A336" i="22"/>
  <c r="A337" i="22"/>
  <c r="A338" i="22"/>
  <c r="A339" i="22"/>
  <c r="A341" i="22"/>
  <c r="A342" i="22"/>
  <c r="A343" i="22"/>
  <c r="A344" i="22"/>
  <c r="A345" i="22"/>
  <c r="A346" i="22"/>
  <c r="A246" i="22"/>
  <c r="A245" i="22" s="1"/>
  <c r="A247" i="22"/>
  <c r="A248" i="22"/>
  <c r="A249" i="22"/>
  <c r="A250" i="22"/>
  <c r="A251" i="22"/>
  <c r="A252" i="22"/>
  <c r="A253" i="22"/>
  <c r="I157" i="25" s="1"/>
  <c r="A254" i="22"/>
  <c r="A255" i="22"/>
  <c r="A257" i="22"/>
  <c r="A258" i="22"/>
  <c r="G219" i="25" s="1"/>
  <c r="A259" i="22"/>
  <c r="G220" i="25" s="1"/>
  <c r="A260" i="22"/>
  <c r="G221" i="25" s="1"/>
  <c r="A261" i="22"/>
  <c r="A262" i="22"/>
  <c r="G223" i="25" s="1"/>
  <c r="A263" i="22"/>
  <c r="G224" i="25" s="1"/>
  <c r="A264" i="22"/>
  <c r="G225" i="25" s="1"/>
  <c r="A265" i="22"/>
  <c r="A266" i="22"/>
  <c r="G227" i="25" s="1"/>
  <c r="A267" i="22"/>
  <c r="G228" i="25" s="1"/>
  <c r="A268" i="22"/>
  <c r="G229" i="25" s="1"/>
  <c r="A269" i="22"/>
  <c r="A270" i="22"/>
  <c r="G231" i="25" s="1"/>
  <c r="A271" i="22"/>
  <c r="G232" i="25" s="1"/>
  <c r="A272" i="22"/>
  <c r="G233" i="25" s="1"/>
  <c r="A273" i="22"/>
  <c r="A274" i="22"/>
  <c r="G235" i="25" s="1"/>
  <c r="A275" i="22"/>
  <c r="G236" i="25" s="1"/>
  <c r="A276" i="22"/>
  <c r="G237" i="25" s="1"/>
  <c r="A277" i="22"/>
  <c r="A278" i="22"/>
  <c r="G239" i="25" s="1"/>
  <c r="A279" i="22"/>
  <c r="G240" i="25" s="1"/>
  <c r="A280" i="22"/>
  <c r="G241" i="25" s="1"/>
  <c r="A281" i="22"/>
  <c r="A282" i="22"/>
  <c r="G243" i="25" s="1"/>
  <c r="A283" i="22"/>
  <c r="G244" i="25" s="1"/>
  <c r="A284" i="22"/>
  <c r="G245" i="25" s="1"/>
  <c r="A285" i="22"/>
  <c r="A287" i="22"/>
  <c r="A288" i="22"/>
  <c r="I249" i="25" s="1"/>
  <c r="A289" i="22"/>
  <c r="G250" i="25" s="1"/>
  <c r="A290" i="22"/>
  <c r="A291" i="22"/>
  <c r="A292" i="22"/>
  <c r="I253" i="25" s="1"/>
  <c r="A293" i="22"/>
  <c r="I254" i="25" s="1"/>
  <c r="A294" i="22"/>
  <c r="A295" i="22"/>
  <c r="A296" i="22"/>
  <c r="I257" i="25" s="1"/>
  <c r="A297" i="22"/>
  <c r="G258" i="25" s="1"/>
  <c r="A298" i="22"/>
  <c r="A300" i="22"/>
  <c r="A301" i="22"/>
  <c r="A302" i="22"/>
  <c r="A303" i="22"/>
  <c r="A304" i="22"/>
  <c r="A305" i="22"/>
  <c r="A306" i="22"/>
  <c r="A307" i="22"/>
  <c r="A308" i="22"/>
  <c r="A309" i="22"/>
  <c r="A171" i="22"/>
  <c r="A170" i="22" s="1"/>
  <c r="A172" i="22"/>
  <c r="A173" i="22"/>
  <c r="A174" i="22"/>
  <c r="A175" i="22"/>
  <c r="A176" i="22"/>
  <c r="A177" i="22"/>
  <c r="A178" i="22"/>
  <c r="I163" i="25" s="1"/>
  <c r="A179" i="22"/>
  <c r="A180" i="22"/>
  <c r="A181" i="22"/>
  <c r="A182" i="22"/>
  <c r="A183" i="22"/>
  <c r="A184" i="22"/>
  <c r="A186" i="22"/>
  <c r="A187" i="22"/>
  <c r="A188" i="22"/>
  <c r="A189" i="22"/>
  <c r="A190" i="22"/>
  <c r="A191" i="22"/>
  <c r="A192" i="22"/>
  <c r="A193" i="22"/>
  <c r="A194" i="22"/>
  <c r="A195" i="22"/>
  <c r="A196" i="22"/>
  <c r="A197" i="22"/>
  <c r="A198" i="22"/>
  <c r="A199" i="22"/>
  <c r="A200" i="22"/>
  <c r="A201" i="22"/>
  <c r="A203" i="22"/>
  <c r="I193" i="25" s="1"/>
  <c r="A204" i="22"/>
  <c r="A205" i="22"/>
  <c r="A206" i="22"/>
  <c r="G196" i="25" s="1"/>
  <c r="A207" i="22"/>
  <c r="I197" i="25" s="1"/>
  <c r="A208" i="22"/>
  <c r="A209" i="22"/>
  <c r="A210" i="22"/>
  <c r="A211" i="22"/>
  <c r="I198" i="25" s="1"/>
  <c r="A212" i="22"/>
  <c r="A213" i="22"/>
  <c r="A215" i="22"/>
  <c r="A214" i="22" s="1"/>
  <c r="A216" i="22"/>
  <c r="G209" i="25" s="1"/>
  <c r="A217" i="22"/>
  <c r="I210" i="25" s="1"/>
  <c r="A218" i="22"/>
  <c r="G211" i="25" s="1"/>
  <c r="A220" i="22"/>
  <c r="A221" i="22"/>
  <c r="A222" i="22"/>
  <c r="A223" i="22"/>
  <c r="A224" i="22"/>
  <c r="A225" i="22"/>
  <c r="A128" i="22"/>
  <c r="A127" i="22" s="1"/>
  <c r="A129" i="22"/>
  <c r="A130" i="22"/>
  <c r="A131" i="22"/>
  <c r="A132" i="22"/>
  <c r="A133" i="22"/>
  <c r="A134" i="22"/>
  <c r="A135" i="22"/>
  <c r="A136" i="22"/>
  <c r="A137" i="22"/>
  <c r="A138" i="22"/>
  <c r="A139" i="22"/>
  <c r="I167" i="25" s="1"/>
  <c r="A140" i="22"/>
  <c r="I168" i="25" s="1"/>
  <c r="A141" i="22"/>
  <c r="A142" i="22"/>
  <c r="A143" i="22"/>
  <c r="A144" i="22"/>
  <c r="I169" i="25" s="1"/>
  <c r="A145" i="22"/>
  <c r="A147" i="22"/>
  <c r="A148" i="22"/>
  <c r="A149" i="22"/>
  <c r="G174" i="25" s="1"/>
  <c r="A150" i="22"/>
  <c r="A151" i="22"/>
  <c r="A152" i="22"/>
  <c r="I176" i="25" s="1"/>
  <c r="A153" i="22"/>
  <c r="G177" i="25" s="1"/>
  <c r="A154" i="22"/>
  <c r="A155" i="22"/>
  <c r="G179" i="25" s="1"/>
  <c r="A156" i="22"/>
  <c r="G180" i="25" s="1"/>
  <c r="A157" i="22"/>
  <c r="G181" i="25" s="1"/>
  <c r="A158" i="22"/>
  <c r="A159" i="22"/>
  <c r="A160" i="22"/>
  <c r="G184" i="25" s="1"/>
  <c r="A161" i="22"/>
  <c r="G185" i="25" s="1"/>
  <c r="A162" i="22"/>
  <c r="A163" i="22"/>
  <c r="I186" i="25" s="1"/>
  <c r="A164" i="22"/>
  <c r="A165" i="22"/>
  <c r="A166" i="22"/>
  <c r="A167" i="22"/>
  <c r="A168" i="22"/>
  <c r="G187" i="25" s="1"/>
  <c r="A169" i="22"/>
  <c r="G188" i="25" s="1"/>
  <c r="A126" i="22"/>
  <c r="I206" i="25" s="1"/>
  <c r="A125" i="22"/>
  <c r="A124" i="22"/>
  <c r="A123" i="22"/>
  <c r="I204" i="25" s="1"/>
  <c r="A122" i="22"/>
  <c r="I203" i="25" s="1"/>
  <c r="A121" i="22"/>
  <c r="G202" i="25" s="1"/>
  <c r="A120" i="22"/>
  <c r="A119" i="22"/>
  <c r="A118" i="22"/>
  <c r="A117" i="22"/>
  <c r="A116" i="22"/>
  <c r="A115" i="22"/>
  <c r="I201" i="25" s="1"/>
  <c r="A114" i="22"/>
  <c r="I200" i="25" s="1"/>
  <c r="A113" i="22"/>
  <c r="A112" i="22"/>
  <c r="A110" i="22"/>
  <c r="A109" i="22"/>
  <c r="A108" i="22"/>
  <c r="A107" i="22"/>
  <c r="A106" i="22"/>
  <c r="A105" i="22"/>
  <c r="A104" i="22"/>
  <c r="A103" i="22"/>
  <c r="A102" i="22"/>
  <c r="A101" i="22"/>
  <c r="A100" i="22"/>
  <c r="A99" i="22"/>
  <c r="A98" i="22"/>
  <c r="A97" i="22"/>
  <c r="A96" i="22"/>
  <c r="I172" i="25" s="1"/>
  <c r="A95" i="22"/>
  <c r="A93" i="22"/>
  <c r="A92" i="22"/>
  <c r="I149" i="25" s="1"/>
  <c r="A91" i="22"/>
  <c r="G148" i="25" s="1"/>
  <c r="A90" i="22"/>
  <c r="I147" i="25" s="1"/>
  <c r="A89" i="22"/>
  <c r="A87" i="22"/>
  <c r="I141" i="25" s="1"/>
  <c r="A86" i="22"/>
  <c r="I140" i="25" s="1"/>
  <c r="A85" i="22"/>
  <c r="A84" i="22"/>
  <c r="I138" i="25" s="1"/>
  <c r="A83" i="22"/>
  <c r="I137" i="25" s="1"/>
  <c r="A82" i="22"/>
  <c r="A81" i="22"/>
  <c r="B22" i="22"/>
  <c r="G22" i="22" s="1"/>
  <c r="B23" i="22"/>
  <c r="G23" i="22" s="1"/>
  <c r="B24" i="22"/>
  <c r="G24" i="22" s="1"/>
  <c r="B25" i="22"/>
  <c r="G25" i="22" s="1"/>
  <c r="B26" i="22"/>
  <c r="G26" i="22" s="1"/>
  <c r="B27" i="22"/>
  <c r="G27" i="22" s="1"/>
  <c r="B28" i="22"/>
  <c r="G28" i="22" s="1"/>
  <c r="B29" i="22"/>
  <c r="G29" i="22" s="1"/>
  <c r="B30" i="22"/>
  <c r="G30" i="22" s="1"/>
  <c r="B31" i="22"/>
  <c r="G31" i="22" s="1"/>
  <c r="B32" i="22"/>
  <c r="G32" i="22" s="1"/>
  <c r="B33" i="22"/>
  <c r="G33" i="22" s="1"/>
  <c r="B34" i="22"/>
  <c r="G34" i="22" s="1"/>
  <c r="B35" i="22"/>
  <c r="G35" i="22" s="1"/>
  <c r="B36" i="22"/>
  <c r="G36" i="22" s="1"/>
  <c r="B21" i="22"/>
  <c r="G21" i="22" s="1"/>
  <c r="A56" i="22"/>
  <c r="A57" i="22"/>
  <c r="D57" i="22" s="1"/>
  <c r="A58" i="22"/>
  <c r="A59" i="22"/>
  <c r="D59" i="22" s="1"/>
  <c r="A60" i="22"/>
  <c r="A61" i="22"/>
  <c r="D61" i="22" s="1"/>
  <c r="A62" i="22"/>
  <c r="A63" i="22"/>
  <c r="D63" i="22" s="1"/>
  <c r="A64" i="22"/>
  <c r="A66" i="22"/>
  <c r="I126" i="25" s="1"/>
  <c r="A67" i="22"/>
  <c r="G127" i="25" s="1"/>
  <c r="A68" i="22"/>
  <c r="A69" i="22"/>
  <c r="A70" i="22"/>
  <c r="A72" i="22"/>
  <c r="A73" i="22"/>
  <c r="A74" i="22"/>
  <c r="A75" i="22"/>
  <c r="A76" i="22"/>
  <c r="A77" i="22"/>
  <c r="G39" i="22"/>
  <c r="E52" i="14"/>
  <c r="E75" i="25" s="1"/>
  <c r="B52" i="14"/>
  <c r="A4" i="20"/>
  <c r="A5" i="20"/>
  <c r="A6" i="20"/>
  <c r="A7" i="20"/>
  <c r="A8" i="20"/>
  <c r="A9" i="20"/>
  <c r="A10" i="20"/>
  <c r="A11" i="20"/>
  <c r="A12" i="20"/>
  <c r="A13" i="20"/>
  <c r="A14" i="20"/>
  <c r="A15" i="20"/>
  <c r="A16" i="20"/>
  <c r="A17" i="20"/>
  <c r="A18" i="20"/>
  <c r="A19" i="20"/>
  <c r="A20" i="20"/>
  <c r="A21" i="20"/>
  <c r="A22" i="20"/>
  <c r="A23"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 i="20"/>
  <c r="A89" i="14"/>
  <c r="A73" i="14"/>
  <c r="A67" i="14"/>
  <c r="A53" i="14"/>
  <c r="A44" i="14"/>
  <c r="A41" i="14"/>
  <c r="A38" i="14"/>
  <c r="A34" i="14"/>
  <c r="A29" i="14"/>
  <c r="A23" i="14"/>
  <c r="A18" i="14"/>
  <c r="A12" i="14"/>
  <c r="A49" i="13"/>
  <c r="A40" i="13"/>
  <c r="A34" i="13"/>
  <c r="A28" i="13"/>
  <c r="A22" i="13"/>
  <c r="A19" i="13"/>
  <c r="A17" i="13"/>
  <c r="A12" i="13"/>
  <c r="A75" i="12"/>
  <c r="A62" i="12"/>
  <c r="A32" i="12"/>
  <c r="A22" i="12"/>
  <c r="A17" i="12"/>
  <c r="A12" i="12"/>
  <c r="A19" i="11"/>
  <c r="A17" i="11"/>
  <c r="A12" i="11"/>
  <c r="A68" i="10"/>
  <c r="A63" i="10"/>
  <c r="A51" i="10"/>
  <c r="A34" i="10"/>
  <c r="A19" i="10"/>
  <c r="A17" i="10"/>
  <c r="A12" i="10"/>
  <c r="A38" i="9"/>
  <c r="A19" i="9"/>
  <c r="A17" i="9"/>
  <c r="A12" i="9"/>
  <c r="A52" i="8"/>
  <c r="A35" i="8"/>
  <c r="A29" i="8"/>
  <c r="A21" i="8"/>
  <c r="A12" i="8"/>
  <c r="A28" i="4"/>
  <c r="A22" i="4"/>
  <c r="A12" i="4"/>
  <c r="I342" i="22" l="1"/>
  <c r="G342" i="22"/>
  <c r="I318" i="22"/>
  <c r="G318" i="22"/>
  <c r="I341" i="22"/>
  <c r="G341" i="22"/>
  <c r="I317" i="22"/>
  <c r="G317" i="22"/>
  <c r="I316" i="22"/>
  <c r="G316" i="22"/>
  <c r="I320" i="22"/>
  <c r="G320" i="22"/>
  <c r="I339" i="22"/>
  <c r="G339" i="22"/>
  <c r="I338" i="22"/>
  <c r="G338" i="22"/>
  <c r="I315" i="22"/>
  <c r="I306" i="20" s="1"/>
  <c r="G315" i="22"/>
  <c r="G306" i="20" s="1"/>
  <c r="I337" i="22"/>
  <c r="G337" i="22"/>
  <c r="A313" i="22"/>
  <c r="I314" i="22"/>
  <c r="G314" i="22"/>
  <c r="I336" i="22"/>
  <c r="G336" i="22"/>
  <c r="I312" i="22"/>
  <c r="G312" i="22"/>
  <c r="I335" i="22"/>
  <c r="G335" i="22"/>
  <c r="A310" i="22"/>
  <c r="I311" i="22"/>
  <c r="G311" i="22"/>
  <c r="I334" i="22"/>
  <c r="G334" i="22"/>
  <c r="I333" i="22"/>
  <c r="G333" i="22"/>
  <c r="A331" i="22"/>
  <c r="I332" i="22"/>
  <c r="G332" i="22"/>
  <c r="I330" i="22"/>
  <c r="G330" i="22"/>
  <c r="I329" i="22"/>
  <c r="G329" i="22"/>
  <c r="I328" i="22"/>
  <c r="G328" i="22"/>
  <c r="I327" i="22"/>
  <c r="G327" i="22"/>
  <c r="I324" i="22"/>
  <c r="G324" i="22"/>
  <c r="I346" i="22"/>
  <c r="G346" i="22"/>
  <c r="I323" i="22"/>
  <c r="G323" i="22"/>
  <c r="I326" i="22"/>
  <c r="G326" i="22"/>
  <c r="I345" i="22"/>
  <c r="G345" i="22"/>
  <c r="I322" i="22"/>
  <c r="G322" i="22"/>
  <c r="I344" i="22"/>
  <c r="G344" i="22"/>
  <c r="I321" i="22"/>
  <c r="G321" i="22"/>
  <c r="I343" i="22"/>
  <c r="G343" i="22"/>
  <c r="H3" i="20"/>
  <c r="J3" i="20"/>
  <c r="J302" i="20"/>
  <c r="I302" i="20"/>
  <c r="H302" i="20"/>
  <c r="G302" i="20"/>
  <c r="J278" i="20"/>
  <c r="I278" i="20"/>
  <c r="H278" i="20"/>
  <c r="G278" i="20"/>
  <c r="J254" i="20"/>
  <c r="I254" i="20"/>
  <c r="H254" i="20"/>
  <c r="G254" i="20"/>
  <c r="H214" i="20"/>
  <c r="J214" i="20"/>
  <c r="G214" i="20"/>
  <c r="H174" i="20"/>
  <c r="J174" i="20"/>
  <c r="H142" i="20"/>
  <c r="I142" i="20"/>
  <c r="J142" i="20"/>
  <c r="H62" i="20"/>
  <c r="J62" i="20"/>
  <c r="H293" i="20"/>
  <c r="G293" i="20"/>
  <c r="J293" i="20"/>
  <c r="I293" i="20"/>
  <c r="H261" i="20"/>
  <c r="G261" i="20"/>
  <c r="J261" i="20"/>
  <c r="I261" i="20"/>
  <c r="G213" i="20"/>
  <c r="J213" i="20"/>
  <c r="H213" i="20"/>
  <c r="J165" i="20"/>
  <c r="I165" i="20"/>
  <c r="H165" i="20"/>
  <c r="G133" i="20"/>
  <c r="J133" i="20"/>
  <c r="H133" i="20"/>
  <c r="J93" i="20"/>
  <c r="H93" i="20"/>
  <c r="I93" i="20"/>
  <c r="J85" i="20"/>
  <c r="I85" i="20"/>
  <c r="H85" i="20"/>
  <c r="J45" i="20"/>
  <c r="H45" i="20"/>
  <c r="J292" i="20"/>
  <c r="I292" i="20"/>
  <c r="H292" i="20"/>
  <c r="G292" i="20"/>
  <c r="J276" i="20"/>
  <c r="I276" i="20"/>
  <c r="H276" i="20"/>
  <c r="G276" i="20"/>
  <c r="J260" i="20"/>
  <c r="I260" i="20"/>
  <c r="K260" i="20" s="1"/>
  <c r="H260" i="20"/>
  <c r="G260" i="20"/>
  <c r="J244" i="20"/>
  <c r="I244" i="20"/>
  <c r="H244" i="20"/>
  <c r="G244" i="20"/>
  <c r="H220" i="20"/>
  <c r="J220" i="20"/>
  <c r="H204" i="20"/>
  <c r="J204" i="20"/>
  <c r="G204" i="20"/>
  <c r="H188" i="20"/>
  <c r="J188" i="20"/>
  <c r="G188" i="20"/>
  <c r="H172" i="20"/>
  <c r="I172" i="20"/>
  <c r="J172" i="20"/>
  <c r="H148" i="20"/>
  <c r="J148" i="20"/>
  <c r="G148" i="20"/>
  <c r="H132" i="20"/>
  <c r="J132" i="20"/>
  <c r="G132" i="20"/>
  <c r="H108" i="20"/>
  <c r="J108" i="20"/>
  <c r="H92" i="20"/>
  <c r="I92" i="20"/>
  <c r="J92" i="20"/>
  <c r="H76" i="20"/>
  <c r="J76" i="20"/>
  <c r="H60" i="20"/>
  <c r="J60" i="20"/>
  <c r="H11" i="20"/>
  <c r="J11" i="20"/>
  <c r="J286" i="20"/>
  <c r="I286" i="20"/>
  <c r="H286" i="20"/>
  <c r="G286" i="20"/>
  <c r="J246" i="20"/>
  <c r="I246" i="20"/>
  <c r="H246" i="20"/>
  <c r="G246" i="20"/>
  <c r="H222" i="20"/>
  <c r="I222" i="20"/>
  <c r="J222" i="20"/>
  <c r="H198" i="20"/>
  <c r="J198" i="20"/>
  <c r="G198" i="20"/>
  <c r="H166" i="20"/>
  <c r="J166" i="20"/>
  <c r="H150" i="20"/>
  <c r="J150" i="20"/>
  <c r="G150" i="20"/>
  <c r="H126" i="20"/>
  <c r="J126" i="20"/>
  <c r="H110" i="20"/>
  <c r="I110" i="20"/>
  <c r="J110" i="20"/>
  <c r="H94" i="20"/>
  <c r="I94" i="20"/>
  <c r="J94" i="20"/>
  <c r="H70" i="20"/>
  <c r="J70" i="20"/>
  <c r="H30" i="20"/>
  <c r="I30" i="20"/>
  <c r="J30" i="20"/>
  <c r="H301" i="20"/>
  <c r="J301" i="20"/>
  <c r="I301" i="20"/>
  <c r="G301" i="20"/>
  <c r="H277" i="20"/>
  <c r="J277" i="20"/>
  <c r="I277" i="20"/>
  <c r="G277" i="20"/>
  <c r="G237" i="20"/>
  <c r="J237" i="20"/>
  <c r="H237" i="20"/>
  <c r="J221" i="20"/>
  <c r="H221" i="20"/>
  <c r="I221" i="20"/>
  <c r="G189" i="20"/>
  <c r="J189" i="20"/>
  <c r="H189" i="20"/>
  <c r="J149" i="20"/>
  <c r="H149" i="20"/>
  <c r="J117" i="20"/>
  <c r="I117" i="20"/>
  <c r="H117" i="20"/>
  <c r="H69" i="20"/>
  <c r="J69" i="20"/>
  <c r="H20" i="20"/>
  <c r="J20" i="20"/>
  <c r="J308" i="20"/>
  <c r="H308" i="20"/>
  <c r="J300" i="20"/>
  <c r="I300" i="20"/>
  <c r="H300" i="20"/>
  <c r="G300" i="20"/>
  <c r="J284" i="20"/>
  <c r="I284" i="20"/>
  <c r="H284" i="20"/>
  <c r="G284" i="20"/>
  <c r="J268" i="20"/>
  <c r="I268" i="20"/>
  <c r="H268" i="20"/>
  <c r="G268" i="20"/>
  <c r="J252" i="20"/>
  <c r="I252" i="20"/>
  <c r="H252" i="20"/>
  <c r="G252" i="20"/>
  <c r="H236" i="20"/>
  <c r="J236" i="20"/>
  <c r="H228" i="20"/>
  <c r="J228" i="20"/>
  <c r="H212" i="20"/>
  <c r="J212" i="20"/>
  <c r="G212" i="20"/>
  <c r="H196" i="20"/>
  <c r="J196" i="20"/>
  <c r="G196" i="20"/>
  <c r="H180" i="20"/>
  <c r="I180" i="20"/>
  <c r="J180" i="20"/>
  <c r="G180" i="20"/>
  <c r="H164" i="20"/>
  <c r="I164" i="20"/>
  <c r="J164" i="20"/>
  <c r="H156" i="20"/>
  <c r="J156" i="20"/>
  <c r="G156" i="20"/>
  <c r="H140" i="20"/>
  <c r="J140" i="20"/>
  <c r="G140" i="20"/>
  <c r="H124" i="20"/>
  <c r="J124" i="20"/>
  <c r="H116" i="20"/>
  <c r="I116" i="20"/>
  <c r="J116" i="20"/>
  <c r="H100" i="20"/>
  <c r="J100" i="20"/>
  <c r="H84" i="20"/>
  <c r="J84" i="20"/>
  <c r="G84" i="20"/>
  <c r="H68" i="20"/>
  <c r="J68" i="20"/>
  <c r="G52" i="20"/>
  <c r="H52" i="20"/>
  <c r="J52" i="20"/>
  <c r="G44" i="20"/>
  <c r="H44" i="20"/>
  <c r="J44" i="20"/>
  <c r="G36" i="20"/>
  <c r="H36" i="20"/>
  <c r="J36" i="20"/>
  <c r="H28" i="20"/>
  <c r="I28" i="20"/>
  <c r="J28" i="20"/>
  <c r="I19" i="20"/>
  <c r="H19" i="20"/>
  <c r="J19" i="20"/>
  <c r="H307" i="20"/>
  <c r="I307" i="20"/>
  <c r="J307" i="20"/>
  <c r="H299" i="20"/>
  <c r="J299" i="20"/>
  <c r="I299" i="20"/>
  <c r="G299" i="20"/>
  <c r="H291" i="20"/>
  <c r="I291" i="20"/>
  <c r="G291" i="20"/>
  <c r="J291" i="20"/>
  <c r="H283" i="20"/>
  <c r="J283" i="20"/>
  <c r="I283" i="20"/>
  <c r="G283" i="20"/>
  <c r="H275" i="20"/>
  <c r="I275" i="20"/>
  <c r="G275" i="20"/>
  <c r="J275" i="20"/>
  <c r="H267" i="20"/>
  <c r="J267" i="20"/>
  <c r="I267" i="20"/>
  <c r="G267" i="20"/>
  <c r="H259" i="20"/>
  <c r="I259" i="20"/>
  <c r="G259" i="20"/>
  <c r="J259" i="20"/>
  <c r="H251" i="20"/>
  <c r="J251" i="20"/>
  <c r="I251" i="20"/>
  <c r="G251" i="20"/>
  <c r="H243" i="20"/>
  <c r="I243" i="20"/>
  <c r="G243" i="20"/>
  <c r="J243" i="20"/>
  <c r="G235" i="20"/>
  <c r="H235" i="20"/>
  <c r="J235" i="20"/>
  <c r="H227" i="20"/>
  <c r="J227" i="20"/>
  <c r="H219" i="20"/>
  <c r="J219" i="20"/>
  <c r="H211" i="20"/>
  <c r="J211" i="20"/>
  <c r="H203" i="20"/>
  <c r="J203" i="20"/>
  <c r="H195" i="20"/>
  <c r="J195" i="20"/>
  <c r="H187" i="20"/>
  <c r="J187" i="20"/>
  <c r="H179" i="20"/>
  <c r="I179" i="20"/>
  <c r="J179" i="20"/>
  <c r="G171" i="20"/>
  <c r="H171" i="20"/>
  <c r="J171" i="20"/>
  <c r="G163" i="20"/>
  <c r="H163" i="20"/>
  <c r="J163" i="20"/>
  <c r="H155" i="20"/>
  <c r="I155" i="20"/>
  <c r="J155" i="20"/>
  <c r="G147" i="20"/>
  <c r="H147" i="20"/>
  <c r="J147" i="20"/>
  <c r="H139" i="20"/>
  <c r="J139" i="20"/>
  <c r="G131" i="20"/>
  <c r="H131" i="20"/>
  <c r="J131" i="20"/>
  <c r="H123" i="20"/>
  <c r="I123" i="20"/>
  <c r="J123" i="20"/>
  <c r="H115" i="20"/>
  <c r="J115" i="20"/>
  <c r="H107" i="20"/>
  <c r="I107" i="20"/>
  <c r="J107" i="20"/>
  <c r="H99" i="20"/>
  <c r="I99" i="20"/>
  <c r="J99" i="20"/>
  <c r="H91" i="20"/>
  <c r="J91" i="20"/>
  <c r="H83" i="20"/>
  <c r="J83" i="20"/>
  <c r="I75" i="20"/>
  <c r="H75" i="20"/>
  <c r="J75" i="20"/>
  <c r="I67" i="20"/>
  <c r="H67" i="20"/>
  <c r="J67" i="20"/>
  <c r="H59" i="20"/>
  <c r="J59" i="20"/>
  <c r="H51" i="20"/>
  <c r="J51" i="20"/>
  <c r="G43" i="20"/>
  <c r="H43" i="20"/>
  <c r="J43" i="20"/>
  <c r="H35" i="20"/>
  <c r="G35" i="20"/>
  <c r="J35" i="20"/>
  <c r="I27" i="20"/>
  <c r="H27" i="20"/>
  <c r="J27" i="20"/>
  <c r="H18" i="20"/>
  <c r="J18" i="20"/>
  <c r="H10" i="20"/>
  <c r="J10" i="20"/>
  <c r="J294" i="20"/>
  <c r="I294" i="20"/>
  <c r="H294" i="20"/>
  <c r="G294" i="20"/>
  <c r="J262" i="20"/>
  <c r="I262" i="20"/>
  <c r="H262" i="20"/>
  <c r="G262" i="20"/>
  <c r="J238" i="20"/>
  <c r="I238" i="20"/>
  <c r="H238" i="20"/>
  <c r="G238" i="20"/>
  <c r="H230" i="20"/>
  <c r="J230" i="20"/>
  <c r="G230" i="20"/>
  <c r="H206" i="20"/>
  <c r="J206" i="20"/>
  <c r="G206" i="20"/>
  <c r="H182" i="20"/>
  <c r="J182" i="20"/>
  <c r="H158" i="20"/>
  <c r="J158" i="20"/>
  <c r="H134" i="20"/>
  <c r="J134" i="20"/>
  <c r="G134" i="20"/>
  <c r="H118" i="20"/>
  <c r="J118" i="20"/>
  <c r="G118" i="20"/>
  <c r="H102" i="20"/>
  <c r="I102" i="20"/>
  <c r="J102" i="20"/>
  <c r="H86" i="20"/>
  <c r="I86" i="20"/>
  <c r="J86" i="20"/>
  <c r="H78" i="20"/>
  <c r="J78" i="20"/>
  <c r="H54" i="20"/>
  <c r="J54" i="20"/>
  <c r="G46" i="20"/>
  <c r="H46" i="20"/>
  <c r="J46" i="20"/>
  <c r="G38" i="20"/>
  <c r="H38" i="20"/>
  <c r="J38" i="20"/>
  <c r="H21" i="20"/>
  <c r="J21" i="20"/>
  <c r="J13" i="20"/>
  <c r="H13" i="20"/>
  <c r="G13" i="20"/>
  <c r="H5" i="20"/>
  <c r="J5" i="20"/>
  <c r="H285" i="20"/>
  <c r="J285" i="20"/>
  <c r="I285" i="20"/>
  <c r="G285" i="20"/>
  <c r="H269" i="20"/>
  <c r="J269" i="20"/>
  <c r="I269" i="20"/>
  <c r="G269" i="20"/>
  <c r="H245" i="20"/>
  <c r="J245" i="20"/>
  <c r="I245" i="20"/>
  <c r="G245" i="20"/>
  <c r="G229" i="20"/>
  <c r="J229" i="20"/>
  <c r="H229" i="20"/>
  <c r="G197" i="20"/>
  <c r="J197" i="20"/>
  <c r="H197" i="20"/>
  <c r="J173" i="20"/>
  <c r="H173" i="20"/>
  <c r="I173" i="20"/>
  <c r="J141" i="20"/>
  <c r="H141" i="20"/>
  <c r="I141" i="20"/>
  <c r="G109" i="20"/>
  <c r="J109" i="20"/>
  <c r="H109" i="20"/>
  <c r="I61" i="20"/>
  <c r="H61" i="20"/>
  <c r="J61" i="20"/>
  <c r="J306" i="20"/>
  <c r="H306" i="20"/>
  <c r="J298" i="20"/>
  <c r="I298" i="20"/>
  <c r="H298" i="20"/>
  <c r="G298" i="20"/>
  <c r="J282" i="20"/>
  <c r="I282" i="20"/>
  <c r="H282" i="20"/>
  <c r="G282" i="20"/>
  <c r="J274" i="20"/>
  <c r="I274" i="20"/>
  <c r="H274" i="20"/>
  <c r="G274" i="20"/>
  <c r="J266" i="20"/>
  <c r="I266" i="20"/>
  <c r="H266" i="20"/>
  <c r="G266" i="20"/>
  <c r="J258" i="20"/>
  <c r="I258" i="20"/>
  <c r="H258" i="20"/>
  <c r="G258" i="20"/>
  <c r="J250" i="20"/>
  <c r="I250" i="20"/>
  <c r="H250" i="20"/>
  <c r="G250" i="20"/>
  <c r="J242" i="20"/>
  <c r="I242" i="20"/>
  <c r="H242" i="20"/>
  <c r="G242" i="20"/>
  <c r="H234" i="20"/>
  <c r="J234" i="20"/>
  <c r="G234" i="20"/>
  <c r="H226" i="20"/>
  <c r="J226" i="20"/>
  <c r="G226" i="20"/>
  <c r="H218" i="20"/>
  <c r="J218" i="20"/>
  <c r="G218" i="20"/>
  <c r="H210" i="20"/>
  <c r="J210" i="20"/>
  <c r="G210" i="20"/>
  <c r="H202" i="20"/>
  <c r="J202" i="20"/>
  <c r="G202" i="20"/>
  <c r="H194" i="20"/>
  <c r="J194" i="20"/>
  <c r="G194" i="20"/>
  <c r="H186" i="20"/>
  <c r="J186" i="20"/>
  <c r="H178" i="20"/>
  <c r="J178" i="20"/>
  <c r="G178" i="20"/>
  <c r="H170" i="20"/>
  <c r="J170" i="20"/>
  <c r="H162" i="20"/>
  <c r="J162" i="20"/>
  <c r="H154" i="20"/>
  <c r="J154" i="20"/>
  <c r="G154" i="20"/>
  <c r="H146" i="20"/>
  <c r="J146" i="20"/>
  <c r="G146" i="20"/>
  <c r="H138" i="20"/>
  <c r="J138" i="20"/>
  <c r="G138" i="20"/>
  <c r="H130" i="20"/>
  <c r="I130" i="20"/>
  <c r="J130" i="20"/>
  <c r="H122" i="20"/>
  <c r="J122" i="20"/>
  <c r="G122" i="20"/>
  <c r="H114" i="20"/>
  <c r="J114" i="20"/>
  <c r="G114" i="20"/>
  <c r="H106" i="20"/>
  <c r="I106" i="20"/>
  <c r="J106" i="20"/>
  <c r="H98" i="20"/>
  <c r="I98" i="20"/>
  <c r="J98" i="20"/>
  <c r="H90" i="20"/>
  <c r="I90" i="20"/>
  <c r="J90" i="20"/>
  <c r="H82" i="20"/>
  <c r="I82" i="20"/>
  <c r="J82" i="20"/>
  <c r="H74" i="20"/>
  <c r="I74" i="20"/>
  <c r="J74" i="20"/>
  <c r="H66" i="20"/>
  <c r="J66" i="20"/>
  <c r="H58" i="20"/>
  <c r="J58" i="20"/>
  <c r="H50" i="20"/>
  <c r="I50" i="20"/>
  <c r="J50" i="20"/>
  <c r="G42" i="20"/>
  <c r="H42" i="20"/>
  <c r="J42" i="20"/>
  <c r="G34" i="20"/>
  <c r="H34" i="20"/>
  <c r="J34" i="20"/>
  <c r="H26" i="20"/>
  <c r="I26" i="20"/>
  <c r="J26" i="20"/>
  <c r="H17" i="20"/>
  <c r="J17" i="20"/>
  <c r="J9" i="20"/>
  <c r="H9" i="20"/>
  <c r="H305" i="20"/>
  <c r="J305" i="20"/>
  <c r="H289" i="20"/>
  <c r="J289" i="20"/>
  <c r="I289" i="20"/>
  <c r="G289" i="20"/>
  <c r="H281" i="20"/>
  <c r="G281" i="20"/>
  <c r="J281" i="20"/>
  <c r="I281" i="20"/>
  <c r="H265" i="20"/>
  <c r="G265" i="20"/>
  <c r="J265" i="20"/>
  <c r="I265" i="20"/>
  <c r="H249" i="20"/>
  <c r="G249" i="20"/>
  <c r="J249" i="20"/>
  <c r="I249" i="20"/>
  <c r="G233" i="20"/>
  <c r="J233" i="20"/>
  <c r="H233" i="20"/>
  <c r="J217" i="20"/>
  <c r="H217" i="20"/>
  <c r="I217" i="20"/>
  <c r="G201" i="20"/>
  <c r="J201" i="20"/>
  <c r="H201" i="20"/>
  <c r="G193" i="20"/>
  <c r="J193" i="20"/>
  <c r="H193" i="20"/>
  <c r="J177" i="20"/>
  <c r="H177" i="20"/>
  <c r="J161" i="20"/>
  <c r="H161" i="20"/>
  <c r="I161" i="20"/>
  <c r="J145" i="20"/>
  <c r="H145" i="20"/>
  <c r="J137" i="20"/>
  <c r="H137" i="20"/>
  <c r="G121" i="20"/>
  <c r="J121" i="20"/>
  <c r="H121" i="20"/>
  <c r="J113" i="20"/>
  <c r="H113" i="20"/>
  <c r="J105" i="20"/>
  <c r="H105" i="20"/>
  <c r="I105" i="20"/>
  <c r="J97" i="20"/>
  <c r="H97" i="20"/>
  <c r="I97" i="20"/>
  <c r="J81" i="20"/>
  <c r="H81" i="20"/>
  <c r="I81" i="20"/>
  <c r="J73" i="20"/>
  <c r="H73" i="20"/>
  <c r="H65" i="20"/>
  <c r="J65" i="20"/>
  <c r="J57" i="20"/>
  <c r="H57" i="20"/>
  <c r="H49" i="20"/>
  <c r="J49" i="20"/>
  <c r="J41" i="20"/>
  <c r="G41" i="20"/>
  <c r="H41" i="20"/>
  <c r="H33" i="20"/>
  <c r="J33" i="20"/>
  <c r="J25" i="20"/>
  <c r="H25" i="20"/>
  <c r="H16" i="20"/>
  <c r="I16" i="20"/>
  <c r="J16" i="20"/>
  <c r="H8" i="20"/>
  <c r="J8" i="20"/>
  <c r="J304" i="20"/>
  <c r="H304" i="20"/>
  <c r="J296" i="20"/>
  <c r="I296" i="20"/>
  <c r="H296" i="20"/>
  <c r="G296" i="20"/>
  <c r="J288" i="20"/>
  <c r="I288" i="20"/>
  <c r="H288" i="20"/>
  <c r="G288" i="20"/>
  <c r="J280" i="20"/>
  <c r="I280" i="20"/>
  <c r="H280" i="20"/>
  <c r="G280" i="20"/>
  <c r="J272" i="20"/>
  <c r="I272" i="20"/>
  <c r="H272" i="20"/>
  <c r="G272" i="20"/>
  <c r="J264" i="20"/>
  <c r="I264" i="20"/>
  <c r="H264" i="20"/>
  <c r="G264" i="20"/>
  <c r="J256" i="20"/>
  <c r="I256" i="20"/>
  <c r="H256" i="20"/>
  <c r="G256" i="20"/>
  <c r="J248" i="20"/>
  <c r="I248" i="20"/>
  <c r="H248" i="20"/>
  <c r="G248" i="20"/>
  <c r="J240" i="20"/>
  <c r="I240" i="20"/>
  <c r="H240" i="20"/>
  <c r="G240" i="20"/>
  <c r="H232" i="20"/>
  <c r="J232" i="20"/>
  <c r="H224" i="20"/>
  <c r="J224" i="20"/>
  <c r="H216" i="20"/>
  <c r="J216" i="20"/>
  <c r="H208" i="20"/>
  <c r="J208" i="20"/>
  <c r="G208" i="20"/>
  <c r="H200" i="20"/>
  <c r="J200" i="20"/>
  <c r="G200" i="20"/>
  <c r="H192" i="20"/>
  <c r="J192" i="20"/>
  <c r="G192" i="20"/>
  <c r="H184" i="20"/>
  <c r="J184" i="20"/>
  <c r="H176" i="20"/>
  <c r="I176" i="20"/>
  <c r="J176" i="20"/>
  <c r="H168" i="20"/>
  <c r="I168" i="20"/>
  <c r="J168" i="20"/>
  <c r="H160" i="20"/>
  <c r="J160" i="20"/>
  <c r="H152" i="20"/>
  <c r="J152" i="20"/>
  <c r="H144" i="20"/>
  <c r="J144" i="20"/>
  <c r="G144" i="20"/>
  <c r="H136" i="20"/>
  <c r="J136" i="20"/>
  <c r="G136" i="20"/>
  <c r="H128" i="20"/>
  <c r="I128" i="20"/>
  <c r="J128" i="20"/>
  <c r="H120" i="20"/>
  <c r="J120" i="20"/>
  <c r="G120" i="20"/>
  <c r="H112" i="20"/>
  <c r="J112" i="20"/>
  <c r="G112" i="20"/>
  <c r="H104" i="20"/>
  <c r="J104" i="20"/>
  <c r="H96" i="20"/>
  <c r="J96" i="20"/>
  <c r="H88" i="20"/>
  <c r="J88" i="20"/>
  <c r="H80" i="20"/>
  <c r="J80" i="20"/>
  <c r="G80" i="20"/>
  <c r="H72" i="20"/>
  <c r="J72" i="20"/>
  <c r="H64" i="20"/>
  <c r="J64" i="20"/>
  <c r="H56" i="20"/>
  <c r="J56" i="20"/>
  <c r="G48" i="20"/>
  <c r="H48" i="20"/>
  <c r="J48" i="20"/>
  <c r="G40" i="20"/>
  <c r="H40" i="20"/>
  <c r="J40" i="20"/>
  <c r="H32" i="20"/>
  <c r="J32" i="20"/>
  <c r="H23" i="20"/>
  <c r="J23" i="20"/>
  <c r="H15" i="20"/>
  <c r="J15" i="20"/>
  <c r="H7" i="20"/>
  <c r="J7" i="20"/>
  <c r="J270" i="20"/>
  <c r="I270" i="20"/>
  <c r="H270" i="20"/>
  <c r="G270" i="20"/>
  <c r="H190" i="20"/>
  <c r="J190" i="20"/>
  <c r="G190" i="20"/>
  <c r="H309" i="20"/>
  <c r="J309" i="20"/>
  <c r="H253" i="20"/>
  <c r="J253" i="20"/>
  <c r="I253" i="20"/>
  <c r="G253" i="20"/>
  <c r="G205" i="20"/>
  <c r="J205" i="20"/>
  <c r="H205" i="20"/>
  <c r="J181" i="20"/>
  <c r="H181" i="20"/>
  <c r="J157" i="20"/>
  <c r="H157" i="20"/>
  <c r="G125" i="20"/>
  <c r="J125" i="20"/>
  <c r="H125" i="20"/>
  <c r="J101" i="20"/>
  <c r="I101" i="20"/>
  <c r="H101" i="20"/>
  <c r="J77" i="20"/>
  <c r="H77" i="20"/>
  <c r="I53" i="20"/>
  <c r="H53" i="20"/>
  <c r="J53" i="20"/>
  <c r="H37" i="20"/>
  <c r="J37" i="20"/>
  <c r="H29" i="20"/>
  <c r="J29" i="20"/>
  <c r="H12" i="20"/>
  <c r="I12" i="20"/>
  <c r="J12" i="20"/>
  <c r="H4" i="20"/>
  <c r="J4" i="20"/>
  <c r="J290" i="20"/>
  <c r="I290" i="20"/>
  <c r="H290" i="20"/>
  <c r="G290" i="20"/>
  <c r="H297" i="20"/>
  <c r="G297" i="20"/>
  <c r="J297" i="20"/>
  <c r="I297" i="20"/>
  <c r="H273" i="20"/>
  <c r="J273" i="20"/>
  <c r="I273" i="20"/>
  <c r="G273" i="20"/>
  <c r="H257" i="20"/>
  <c r="J257" i="20"/>
  <c r="I257" i="20"/>
  <c r="G257" i="20"/>
  <c r="H241" i="20"/>
  <c r="J241" i="20"/>
  <c r="I241" i="20"/>
  <c r="G241" i="20"/>
  <c r="J225" i="20"/>
  <c r="H225" i="20"/>
  <c r="I225" i="20"/>
  <c r="G209" i="20"/>
  <c r="J209" i="20"/>
  <c r="H209" i="20"/>
  <c r="J185" i="20"/>
  <c r="H185" i="20"/>
  <c r="J169" i="20"/>
  <c r="H169" i="20"/>
  <c r="I169" i="20"/>
  <c r="J153" i="20"/>
  <c r="H153" i="20"/>
  <c r="G129" i="20"/>
  <c r="J129" i="20"/>
  <c r="H129" i="20"/>
  <c r="J89" i="20"/>
  <c r="H89" i="20"/>
  <c r="I89" i="20"/>
  <c r="H311" i="20"/>
  <c r="H303" i="20"/>
  <c r="J303" i="20"/>
  <c r="H295" i="20"/>
  <c r="J295" i="20"/>
  <c r="I295" i="20"/>
  <c r="G295" i="20"/>
  <c r="H287" i="20"/>
  <c r="J287" i="20"/>
  <c r="I287" i="20"/>
  <c r="G287" i="20"/>
  <c r="H279" i="20"/>
  <c r="J279" i="20"/>
  <c r="I279" i="20"/>
  <c r="G279" i="20"/>
  <c r="H271" i="20"/>
  <c r="I271" i="20"/>
  <c r="G271" i="20"/>
  <c r="J271" i="20"/>
  <c r="H263" i="20"/>
  <c r="J263" i="20"/>
  <c r="I263" i="20"/>
  <c r="G263" i="20"/>
  <c r="H255" i="20"/>
  <c r="J255" i="20"/>
  <c r="I255" i="20"/>
  <c r="G255" i="20"/>
  <c r="H247" i="20"/>
  <c r="J247" i="20"/>
  <c r="I247" i="20"/>
  <c r="G247" i="20"/>
  <c r="H239" i="20"/>
  <c r="I239" i="20"/>
  <c r="J239" i="20"/>
  <c r="G239" i="20"/>
  <c r="G231" i="20"/>
  <c r="H231" i="20"/>
  <c r="J231" i="20"/>
  <c r="H223" i="20"/>
  <c r="J223" i="20"/>
  <c r="H215" i="20"/>
  <c r="J215" i="20"/>
  <c r="H207" i="20"/>
  <c r="J207" i="20"/>
  <c r="H199" i="20"/>
  <c r="I199" i="20"/>
  <c r="J199" i="20"/>
  <c r="H191" i="20"/>
  <c r="J191" i="20"/>
  <c r="H183" i="20"/>
  <c r="I183" i="20"/>
  <c r="J183" i="20"/>
  <c r="H175" i="20"/>
  <c r="J175" i="20"/>
  <c r="G167" i="20"/>
  <c r="H167" i="20"/>
  <c r="J167" i="20"/>
  <c r="H159" i="20"/>
  <c r="I159" i="20"/>
  <c r="J159" i="20"/>
  <c r="H151" i="20"/>
  <c r="I151" i="20"/>
  <c r="J151" i="20"/>
  <c r="H143" i="20"/>
  <c r="J143" i="20"/>
  <c r="H135" i="20"/>
  <c r="J135" i="20"/>
  <c r="H127" i="20"/>
  <c r="I127" i="20"/>
  <c r="J127" i="20"/>
  <c r="H119" i="20"/>
  <c r="J119" i="20"/>
  <c r="H111" i="20"/>
  <c r="I111" i="20"/>
  <c r="J111" i="20"/>
  <c r="H103" i="20"/>
  <c r="I103" i="20"/>
  <c r="J103" i="20"/>
  <c r="H95" i="20"/>
  <c r="J95" i="20"/>
  <c r="H87" i="20"/>
  <c r="I87" i="20"/>
  <c r="J87" i="20"/>
  <c r="H79" i="20"/>
  <c r="J79" i="20"/>
  <c r="I71" i="20"/>
  <c r="H71" i="20"/>
  <c r="J71" i="20"/>
  <c r="H63" i="20"/>
  <c r="J63" i="20"/>
  <c r="J55" i="20"/>
  <c r="H55" i="20"/>
  <c r="H47" i="20"/>
  <c r="J47" i="20"/>
  <c r="G47" i="20"/>
  <c r="G39" i="20"/>
  <c r="H39" i="20"/>
  <c r="J39" i="20"/>
  <c r="I31" i="20"/>
  <c r="H31" i="20"/>
  <c r="J31" i="20"/>
  <c r="H22" i="20"/>
  <c r="J22" i="20"/>
  <c r="H14" i="20"/>
  <c r="J14" i="20"/>
  <c r="H6" i="20"/>
  <c r="J6" i="20"/>
  <c r="C58" i="22"/>
  <c r="F5" i="20" s="1"/>
  <c r="D58" i="22"/>
  <c r="C64" i="22"/>
  <c r="F11" i="20" s="1"/>
  <c r="D64" i="22"/>
  <c r="G3" i="20"/>
  <c r="D56" i="22"/>
  <c r="C62" i="22"/>
  <c r="F9" i="20" s="1"/>
  <c r="D62" i="22"/>
  <c r="C60" i="22"/>
  <c r="F7" i="20" s="1"/>
  <c r="D60" i="22"/>
  <c r="D79" i="22"/>
  <c r="D134" i="25" s="1"/>
  <c r="D78" i="22"/>
  <c r="D75" i="25"/>
  <c r="D188" i="22"/>
  <c r="D191" i="25" s="1"/>
  <c r="D194" i="22"/>
  <c r="D187" i="22"/>
  <c r="D190" i="22"/>
  <c r="D195" i="22"/>
  <c r="D199" i="22"/>
  <c r="D191" i="22"/>
  <c r="D200" i="22"/>
  <c r="D196" i="22"/>
  <c r="D201" i="22"/>
  <c r="D189" i="22"/>
  <c r="D198" i="22"/>
  <c r="D192" i="22"/>
  <c r="D197" i="22"/>
  <c r="D193" i="22"/>
  <c r="C22" i="14"/>
  <c r="E22" i="14" s="1"/>
  <c r="D22" i="14"/>
  <c r="C324" i="20"/>
  <c r="C316" i="20"/>
  <c r="C322" i="20"/>
  <c r="B314" i="20"/>
  <c r="B331" i="20"/>
  <c r="B323" i="20"/>
  <c r="B315" i="20"/>
  <c r="B307" i="20"/>
  <c r="C321" i="20"/>
  <c r="C313" i="20"/>
  <c r="C305" i="20"/>
  <c r="M288" i="20"/>
  <c r="Q288" i="20" s="1"/>
  <c r="S288" i="20" s="1"/>
  <c r="M256" i="20"/>
  <c r="Q256" i="20" s="1"/>
  <c r="S256" i="20" s="1"/>
  <c r="C245" i="20"/>
  <c r="M245" i="20"/>
  <c r="Q245" i="20" s="1"/>
  <c r="S245" i="20" s="1"/>
  <c r="B197" i="20"/>
  <c r="C149" i="20"/>
  <c r="B105" i="20"/>
  <c r="C42" i="20"/>
  <c r="B27" i="20"/>
  <c r="B280" i="20"/>
  <c r="M280" i="20"/>
  <c r="Q280" i="20" s="1"/>
  <c r="S280" i="20" s="1"/>
  <c r="E248" i="20"/>
  <c r="M248" i="20"/>
  <c r="Q248" i="20" s="1"/>
  <c r="S248" i="20" s="1"/>
  <c r="B293" i="20"/>
  <c r="M293" i="20"/>
  <c r="Q293" i="20" s="1"/>
  <c r="S293" i="20" s="1"/>
  <c r="M261" i="20"/>
  <c r="Q261" i="20" s="1"/>
  <c r="S261" i="20" s="1"/>
  <c r="B229" i="20"/>
  <c r="B205" i="20"/>
  <c r="C136" i="20"/>
  <c r="M276" i="20"/>
  <c r="Q276" i="20" s="1"/>
  <c r="S276" i="20" s="1"/>
  <c r="B196" i="20"/>
  <c r="B156" i="20"/>
  <c r="E128" i="20"/>
  <c r="B81" i="20"/>
  <c r="B301" i="20"/>
  <c r="M301" i="20"/>
  <c r="Q301" i="20" s="1"/>
  <c r="S301" i="20" s="1"/>
  <c r="M277" i="20"/>
  <c r="Q277" i="20" s="1"/>
  <c r="S277" i="20" s="1"/>
  <c r="C253" i="20"/>
  <c r="M253" i="20"/>
  <c r="Q253" i="20" s="1"/>
  <c r="S253" i="20" s="1"/>
  <c r="B221" i="20"/>
  <c r="B189" i="20"/>
  <c r="C173" i="20"/>
  <c r="B97" i="20"/>
  <c r="B74" i="20"/>
  <c r="B66" i="20"/>
  <c r="C50" i="20"/>
  <c r="M292" i="20"/>
  <c r="Q292" i="20" s="1"/>
  <c r="S292" i="20" s="1"/>
  <c r="M260" i="20"/>
  <c r="Q260" i="20" s="1"/>
  <c r="S260" i="20" s="1"/>
  <c r="M291" i="20"/>
  <c r="Q291" i="20" s="1"/>
  <c r="S291" i="20" s="1"/>
  <c r="M275" i="20"/>
  <c r="Q275" i="20" s="1"/>
  <c r="S275" i="20" s="1"/>
  <c r="M259" i="20"/>
  <c r="Q259" i="20" s="1"/>
  <c r="S259" i="20" s="1"/>
  <c r="M243" i="20"/>
  <c r="Q243" i="20" s="1"/>
  <c r="S243" i="20" s="1"/>
  <c r="C195" i="20"/>
  <c r="B179" i="20"/>
  <c r="D119" i="20"/>
  <c r="C64" i="20"/>
  <c r="E32" i="20"/>
  <c r="L32" i="20" s="1"/>
  <c r="M285" i="20"/>
  <c r="Q285" i="20" s="1"/>
  <c r="S285" i="20" s="1"/>
  <c r="B269" i="20"/>
  <c r="M269" i="20"/>
  <c r="Q269" i="20" s="1"/>
  <c r="S269" i="20" s="1"/>
  <c r="C237" i="20"/>
  <c r="B213" i="20"/>
  <c r="C181" i="20"/>
  <c r="M300" i="20"/>
  <c r="Q300" i="20" s="1"/>
  <c r="S300" i="20" s="1"/>
  <c r="M268" i="20"/>
  <c r="Q268" i="20" s="1"/>
  <c r="S268" i="20" s="1"/>
  <c r="M244" i="20"/>
  <c r="Q244" i="20" s="1"/>
  <c r="B96" i="20"/>
  <c r="D41" i="20"/>
  <c r="M299" i="20"/>
  <c r="Q299" i="20" s="1"/>
  <c r="S299" i="20" s="1"/>
  <c r="M283" i="20"/>
  <c r="Q283" i="20" s="1"/>
  <c r="S283" i="20" s="1"/>
  <c r="M267" i="20"/>
  <c r="Q267" i="20" s="1"/>
  <c r="S267" i="20" s="1"/>
  <c r="M251" i="20"/>
  <c r="Q251" i="20" s="1"/>
  <c r="S251" i="20" s="1"/>
  <c r="C219" i="20"/>
  <c r="C95" i="20"/>
  <c r="C88" i="20"/>
  <c r="C72" i="20"/>
  <c r="D56" i="20"/>
  <c r="D25" i="20"/>
  <c r="M298" i="20"/>
  <c r="Q298" i="20" s="1"/>
  <c r="S298" i="20" s="1"/>
  <c r="M290" i="20"/>
  <c r="Q290" i="20" s="1"/>
  <c r="S290" i="20" s="1"/>
  <c r="M282" i="20"/>
  <c r="Q282" i="20" s="1"/>
  <c r="S282" i="20" s="1"/>
  <c r="M274" i="20"/>
  <c r="Q274" i="20" s="1"/>
  <c r="S274" i="20" s="1"/>
  <c r="M266" i="20"/>
  <c r="Q266" i="20" s="1"/>
  <c r="S266" i="20" s="1"/>
  <c r="M258" i="20"/>
  <c r="Q258" i="20" s="1"/>
  <c r="S258" i="20" s="1"/>
  <c r="B250" i="20"/>
  <c r="M250" i="20"/>
  <c r="Q250" i="20" s="1"/>
  <c r="S250" i="20" s="1"/>
  <c r="M242" i="20"/>
  <c r="Q242" i="20" s="1"/>
  <c r="S242" i="20" s="1"/>
  <c r="C234" i="20"/>
  <c r="C186" i="20"/>
  <c r="B170" i="20"/>
  <c r="C71" i="20"/>
  <c r="M284" i="20"/>
  <c r="Q284" i="20" s="1"/>
  <c r="S284" i="20" s="1"/>
  <c r="M252" i="20"/>
  <c r="Q252" i="20" s="1"/>
  <c r="S252" i="20" s="1"/>
  <c r="B220" i="20"/>
  <c r="B188" i="20"/>
  <c r="D164" i="20"/>
  <c r="B104" i="20"/>
  <c r="M297" i="20"/>
  <c r="Q297" i="20" s="1"/>
  <c r="M289" i="20"/>
  <c r="Q289" i="20" s="1"/>
  <c r="S289" i="20" s="1"/>
  <c r="M281" i="20"/>
  <c r="Q281" i="20" s="1"/>
  <c r="S281" i="20" s="1"/>
  <c r="M273" i="20"/>
  <c r="Q273" i="20" s="1"/>
  <c r="S273" i="20" s="1"/>
  <c r="M265" i="20"/>
  <c r="Q265" i="20" s="1"/>
  <c r="S265" i="20" s="1"/>
  <c r="M257" i="20"/>
  <c r="Q257" i="20" s="1"/>
  <c r="S257" i="20" s="1"/>
  <c r="M249" i="20"/>
  <c r="Q249" i="20" s="1"/>
  <c r="S249" i="20" s="1"/>
  <c r="M241" i="20"/>
  <c r="Q241" i="20" s="1"/>
  <c r="S241" i="20" s="1"/>
  <c r="M272" i="20"/>
  <c r="Q272" i="20" s="1"/>
  <c r="S272" i="20" s="1"/>
  <c r="B144" i="20"/>
  <c r="B139" i="20"/>
  <c r="B124" i="20"/>
  <c r="B116" i="20"/>
  <c r="D108" i="20"/>
  <c r="B85" i="20"/>
  <c r="B13" i="20"/>
  <c r="M296" i="20"/>
  <c r="Q296" i="20" s="1"/>
  <c r="S296" i="20" s="1"/>
  <c r="M264" i="20"/>
  <c r="Q264" i="20" s="1"/>
  <c r="S264" i="20" s="1"/>
  <c r="M240" i="20"/>
  <c r="Q240" i="20" s="1"/>
  <c r="B208" i="20"/>
  <c r="B168" i="20"/>
  <c r="B152" i="20"/>
  <c r="B61" i="20"/>
  <c r="B45" i="20"/>
  <c r="B29" i="20"/>
  <c r="M287" i="20"/>
  <c r="Q287" i="20" s="1"/>
  <c r="S287" i="20" s="1"/>
  <c r="M271" i="20"/>
  <c r="Q271" i="20" s="1"/>
  <c r="S271" i="20" s="1"/>
  <c r="M255" i="20"/>
  <c r="Q255" i="20" s="1"/>
  <c r="M239" i="20"/>
  <c r="Q239" i="20" s="1"/>
  <c r="B138" i="20"/>
  <c r="D99" i="20"/>
  <c r="B84" i="20"/>
  <c r="B68" i="20"/>
  <c r="B36" i="20"/>
  <c r="D4" i="20"/>
  <c r="M4" i="20"/>
  <c r="Q4" i="20" s="1"/>
  <c r="B92" i="20"/>
  <c r="B53" i="20"/>
  <c r="B21" i="20"/>
  <c r="D3" i="20"/>
  <c r="M3" i="20"/>
  <c r="Q3" i="20" s="1"/>
  <c r="M295" i="20"/>
  <c r="Q295" i="20" s="1"/>
  <c r="S295" i="20" s="1"/>
  <c r="M279" i="20"/>
  <c r="Q279" i="20" s="1"/>
  <c r="S279" i="20" s="1"/>
  <c r="M263" i="20"/>
  <c r="Q263" i="20" s="1"/>
  <c r="S263" i="20" s="1"/>
  <c r="M247" i="20"/>
  <c r="Q247" i="20" s="1"/>
  <c r="S247" i="20" s="1"/>
  <c r="D107" i="20"/>
  <c r="B302" i="20"/>
  <c r="M302" i="20"/>
  <c r="Q302" i="20" s="1"/>
  <c r="S302" i="20" s="1"/>
  <c r="M294" i="20"/>
  <c r="Q294" i="20" s="1"/>
  <c r="S294" i="20" s="1"/>
  <c r="M286" i="20"/>
  <c r="Q286" i="20" s="1"/>
  <c r="S286" i="20" s="1"/>
  <c r="M278" i="20"/>
  <c r="Q278" i="20" s="1"/>
  <c r="S278" i="20" s="1"/>
  <c r="B270" i="20"/>
  <c r="M270" i="20"/>
  <c r="Q270" i="20" s="1"/>
  <c r="S270" i="20" s="1"/>
  <c r="M262" i="20"/>
  <c r="Q262" i="20" s="1"/>
  <c r="S262" i="20" s="1"/>
  <c r="M254" i="20"/>
  <c r="Q254" i="20" s="1"/>
  <c r="S254" i="20" s="1"/>
  <c r="M246" i="20"/>
  <c r="Q246" i="20" s="1"/>
  <c r="S246" i="20" s="1"/>
  <c r="M238" i="20"/>
  <c r="Q238" i="20" s="1"/>
  <c r="M5" i="20"/>
  <c r="Q5" i="20" s="1"/>
  <c r="M11" i="20"/>
  <c r="Q11" i="20" s="1"/>
  <c r="M8" i="20"/>
  <c r="Q8" i="20" s="1"/>
  <c r="B9" i="20"/>
  <c r="M9" i="20"/>
  <c r="Q9" i="20" s="1"/>
  <c r="M7" i="20"/>
  <c r="Q7" i="20" s="1"/>
  <c r="B6" i="20"/>
  <c r="M6" i="20"/>
  <c r="Q6" i="20" s="1"/>
  <c r="M10" i="20"/>
  <c r="Q10" i="20" s="1"/>
  <c r="B18" i="20"/>
  <c r="C16" i="20"/>
  <c r="B20" i="20"/>
  <c r="G23" i="20"/>
  <c r="C79" i="22"/>
  <c r="C134" i="25" s="1"/>
  <c r="B79" i="22"/>
  <c r="C61" i="22"/>
  <c r="F8" i="20" s="1"/>
  <c r="I4" i="20"/>
  <c r="C57" i="22"/>
  <c r="F4" i="20" s="1"/>
  <c r="I10" i="20"/>
  <c r="C63" i="22"/>
  <c r="F10" i="20" s="1"/>
  <c r="C59" i="22"/>
  <c r="F6" i="20" s="1"/>
  <c r="I3" i="20"/>
  <c r="C56" i="22"/>
  <c r="F3" i="20" s="1"/>
  <c r="C120" i="25"/>
  <c r="C108" i="25"/>
  <c r="C100" i="25"/>
  <c r="C84" i="25"/>
  <c r="C72" i="25"/>
  <c r="C60" i="25"/>
  <c r="C56" i="25"/>
  <c r="C107" i="25"/>
  <c r="C51" i="25"/>
  <c r="C115" i="25"/>
  <c r="C111" i="25"/>
  <c r="C103" i="25"/>
  <c r="C91" i="25"/>
  <c r="C87" i="25"/>
  <c r="C79" i="25"/>
  <c r="C75" i="25"/>
  <c r="C47" i="25"/>
  <c r="C92" i="25"/>
  <c r="C88" i="25"/>
  <c r="C71" i="25"/>
  <c r="C118" i="25"/>
  <c r="C106" i="25"/>
  <c r="C98" i="25"/>
  <c r="C94" i="25"/>
  <c r="C82" i="25"/>
  <c r="C70" i="25"/>
  <c r="C66" i="25"/>
  <c r="C62" i="25"/>
  <c r="C58" i="25"/>
  <c r="C54" i="25"/>
  <c r="C50" i="25"/>
  <c r="C80" i="25"/>
  <c r="C68" i="25"/>
  <c r="C83" i="25"/>
  <c r="C113" i="25"/>
  <c r="C109" i="25"/>
  <c r="C101" i="25"/>
  <c r="C85" i="25"/>
  <c r="C77" i="25"/>
  <c r="C73" i="25"/>
  <c r="C95" i="25"/>
  <c r="C59" i="25"/>
  <c r="C114" i="25"/>
  <c r="C110" i="25"/>
  <c r="C102" i="25"/>
  <c r="C86" i="25"/>
  <c r="C78" i="25"/>
  <c r="C74" i="25"/>
  <c r="C116" i="25"/>
  <c r="C104" i="25"/>
  <c r="C63" i="25"/>
  <c r="C117" i="25"/>
  <c r="C105" i="25"/>
  <c r="C97" i="25"/>
  <c r="C93" i="25"/>
  <c r="C89" i="25"/>
  <c r="C81" i="25"/>
  <c r="C69" i="25"/>
  <c r="C65" i="25"/>
  <c r="C53" i="25"/>
  <c r="C49" i="25"/>
  <c r="C48" i="25"/>
  <c r="C119" i="25"/>
  <c r="C99" i="25"/>
  <c r="C55" i="25"/>
  <c r="C85" i="22"/>
  <c r="C139" i="25" s="1"/>
  <c r="G183" i="20"/>
  <c r="G75" i="20"/>
  <c r="I234" i="20"/>
  <c r="I240" i="25"/>
  <c r="C229" i="22"/>
  <c r="C198" i="22"/>
  <c r="I211" i="25"/>
  <c r="C138" i="22"/>
  <c r="C130" i="22"/>
  <c r="G92" i="20"/>
  <c r="C77" i="22"/>
  <c r="C133" i="25" s="1"/>
  <c r="C76" i="22"/>
  <c r="C132" i="25" s="1"/>
  <c r="C75" i="22"/>
  <c r="C131" i="25" s="1"/>
  <c r="C73" i="22"/>
  <c r="C72" i="22"/>
  <c r="C318" i="22"/>
  <c r="C336" i="22"/>
  <c r="G307" i="20"/>
  <c r="C344" i="22"/>
  <c r="C329" i="22"/>
  <c r="C328" i="22"/>
  <c r="C314" i="22"/>
  <c r="C277" i="22"/>
  <c r="C238" i="25" s="1"/>
  <c r="C269" i="22"/>
  <c r="C230" i="25" s="1"/>
  <c r="I258" i="25"/>
  <c r="I224" i="25"/>
  <c r="C261" i="22"/>
  <c r="C222" i="25" s="1"/>
  <c r="C281" i="22"/>
  <c r="C242" i="25" s="1"/>
  <c r="I220" i="25"/>
  <c r="C300" i="22"/>
  <c r="C304" i="22"/>
  <c r="C273" i="22"/>
  <c r="C234" i="25" s="1"/>
  <c r="C265" i="22"/>
  <c r="C226" i="25" s="1"/>
  <c r="A286" i="22"/>
  <c r="C257" i="22"/>
  <c r="C218" i="25" s="1"/>
  <c r="C308" i="22"/>
  <c r="C285" i="22"/>
  <c r="C246" i="25" s="1"/>
  <c r="I35" i="20"/>
  <c r="I47" i="20"/>
  <c r="I43" i="20"/>
  <c r="I39" i="20"/>
  <c r="C241" i="22"/>
  <c r="C237" i="22"/>
  <c r="I147" i="20"/>
  <c r="C179" i="22"/>
  <c r="C183" i="22"/>
  <c r="C190" i="22"/>
  <c r="C177" i="22"/>
  <c r="C212" i="22"/>
  <c r="C223" i="22"/>
  <c r="C215" i="25" s="1"/>
  <c r="C196" i="22"/>
  <c r="C188" i="22"/>
  <c r="C191" i="25" s="1"/>
  <c r="C186" i="22"/>
  <c r="C190" i="25" s="1"/>
  <c r="C194" i="22"/>
  <c r="I136" i="20"/>
  <c r="C181" i="22"/>
  <c r="C175" i="22"/>
  <c r="G214" i="25"/>
  <c r="C200" i="22"/>
  <c r="G142" i="20"/>
  <c r="G67" i="20"/>
  <c r="C233" i="22"/>
  <c r="C144" i="25" s="1"/>
  <c r="I144" i="20"/>
  <c r="G163" i="25"/>
  <c r="G249" i="25"/>
  <c r="I236" i="25"/>
  <c r="G303" i="20"/>
  <c r="I48" i="20"/>
  <c r="I44" i="20"/>
  <c r="I40" i="20"/>
  <c r="I143" i="25"/>
  <c r="I32" i="20"/>
  <c r="I66" i="20"/>
  <c r="C242" i="22"/>
  <c r="C238" i="22"/>
  <c r="C234" i="22"/>
  <c r="C230" i="22"/>
  <c r="G32" i="20"/>
  <c r="I70" i="20"/>
  <c r="C173" i="22"/>
  <c r="A299" i="22"/>
  <c r="G254" i="25"/>
  <c r="I228" i="25"/>
  <c r="I49" i="20"/>
  <c r="I45" i="20"/>
  <c r="I41" i="20"/>
  <c r="I37" i="20"/>
  <c r="I33" i="20"/>
  <c r="G49" i="20"/>
  <c r="C243" i="22"/>
  <c r="G45" i="20"/>
  <c r="C239" i="22"/>
  <c r="C235" i="22"/>
  <c r="G37" i="20"/>
  <c r="C231" i="22"/>
  <c r="C143" i="25" s="1"/>
  <c r="G33" i="20"/>
  <c r="C227" i="22"/>
  <c r="I46" i="20"/>
  <c r="I42" i="20"/>
  <c r="I144" i="25"/>
  <c r="I34" i="20"/>
  <c r="I190" i="25"/>
  <c r="I232" i="25"/>
  <c r="I308" i="20"/>
  <c r="C244" i="22"/>
  <c r="C240" i="22"/>
  <c r="C236" i="22"/>
  <c r="C232" i="22"/>
  <c r="C228" i="22"/>
  <c r="C132" i="22"/>
  <c r="I230" i="20"/>
  <c r="I244" i="25"/>
  <c r="G308" i="20"/>
  <c r="I235" i="20"/>
  <c r="I231" i="20"/>
  <c r="I250" i="25"/>
  <c r="I245" i="25"/>
  <c r="I241" i="25"/>
  <c r="I237" i="25"/>
  <c r="I233" i="25"/>
  <c r="I229" i="25"/>
  <c r="I225" i="25"/>
  <c r="I221" i="25"/>
  <c r="C339" i="22"/>
  <c r="C335" i="22"/>
  <c r="C324" i="22"/>
  <c r="C320" i="22"/>
  <c r="I179" i="25"/>
  <c r="I131" i="20"/>
  <c r="I208" i="25"/>
  <c r="I148" i="20"/>
  <c r="I145" i="20"/>
  <c r="G74" i="20"/>
  <c r="G70" i="20"/>
  <c r="G66" i="20"/>
  <c r="A256" i="22"/>
  <c r="C345" i="22"/>
  <c r="C341" i="22"/>
  <c r="C330" i="22"/>
  <c r="C326" i="22"/>
  <c r="C315" i="22"/>
  <c r="I303" i="20"/>
  <c r="C321" i="22"/>
  <c r="C346" i="22"/>
  <c r="C342" i="22"/>
  <c r="C327" i="22"/>
  <c r="I313" i="20"/>
  <c r="A319" i="22"/>
  <c r="H320" i="20" s="1"/>
  <c r="C316" i="22"/>
  <c r="I304" i="20"/>
  <c r="I138" i="20"/>
  <c r="G253" i="25"/>
  <c r="G157" i="25"/>
  <c r="A340" i="22"/>
  <c r="C337" i="22"/>
  <c r="G322" i="20"/>
  <c r="C333" i="22"/>
  <c r="A325" i="22"/>
  <c r="G327" i="20" s="1"/>
  <c r="C322" i="22"/>
  <c r="I309" i="20"/>
  <c r="I305" i="20"/>
  <c r="G304" i="20"/>
  <c r="C311" i="22"/>
  <c r="C332" i="22"/>
  <c r="G128" i="20"/>
  <c r="G176" i="25"/>
  <c r="G198" i="25"/>
  <c r="I150" i="20"/>
  <c r="G257" i="25"/>
  <c r="G153" i="25"/>
  <c r="C343" i="22"/>
  <c r="I323" i="20"/>
  <c r="G318" i="20"/>
  <c r="I314" i="20"/>
  <c r="I310" i="20"/>
  <c r="G309" i="20"/>
  <c r="C317" i="22"/>
  <c r="G305" i="20"/>
  <c r="I146" i="20"/>
  <c r="I219" i="25"/>
  <c r="G156" i="25"/>
  <c r="C248" i="22"/>
  <c r="C153" i="25" s="1"/>
  <c r="C338" i="22"/>
  <c r="C334" i="22"/>
  <c r="C323" i="22"/>
  <c r="C312" i="22"/>
  <c r="I187" i="25"/>
  <c r="G186" i="25"/>
  <c r="G116" i="20"/>
  <c r="I209" i="25"/>
  <c r="I158" i="20"/>
  <c r="I149" i="20"/>
  <c r="C252" i="22"/>
  <c r="C156" i="25" s="1"/>
  <c r="G88" i="20"/>
  <c r="G208" i="25"/>
  <c r="G158" i="20"/>
  <c r="G190" i="25"/>
  <c r="C309" i="22"/>
  <c r="C305" i="22"/>
  <c r="C301" i="22"/>
  <c r="C282" i="22"/>
  <c r="C243" i="25" s="1"/>
  <c r="C278" i="22"/>
  <c r="C239" i="25" s="1"/>
  <c r="C274" i="22"/>
  <c r="C235" i="25" s="1"/>
  <c r="C270" i="22"/>
  <c r="C231" i="25" s="1"/>
  <c r="C266" i="22"/>
  <c r="C227" i="25" s="1"/>
  <c r="C262" i="22"/>
  <c r="C223" i="25" s="1"/>
  <c r="C258" i="22"/>
  <c r="C219" i="25" s="1"/>
  <c r="I158" i="25"/>
  <c r="I154" i="25"/>
  <c r="I151" i="25"/>
  <c r="C296" i="22"/>
  <c r="C257" i="25" s="1"/>
  <c r="C292" i="22"/>
  <c r="C253" i="25" s="1"/>
  <c r="C288" i="22"/>
  <c r="C249" i="25" s="1"/>
  <c r="G158" i="25"/>
  <c r="C253" i="22"/>
  <c r="C157" i="25" s="1"/>
  <c r="G154" i="25"/>
  <c r="C249" i="22"/>
  <c r="G151" i="25"/>
  <c r="C295" i="22"/>
  <c r="C256" i="25" s="1"/>
  <c r="C291" i="22"/>
  <c r="C252" i="25" s="1"/>
  <c r="C287" i="22"/>
  <c r="C248" i="25" s="1"/>
  <c r="G101" i="20"/>
  <c r="A185" i="22"/>
  <c r="C306" i="22"/>
  <c r="C302" i="22"/>
  <c r="I259" i="25"/>
  <c r="I255" i="25"/>
  <c r="I251" i="25"/>
  <c r="C283" i="22"/>
  <c r="C244" i="25" s="1"/>
  <c r="C279" i="22"/>
  <c r="C240" i="25" s="1"/>
  <c r="C275" i="22"/>
  <c r="C236" i="25" s="1"/>
  <c r="C271" i="22"/>
  <c r="C232" i="25" s="1"/>
  <c r="C267" i="22"/>
  <c r="C228" i="25" s="1"/>
  <c r="C263" i="22"/>
  <c r="C224" i="25" s="1"/>
  <c r="C259" i="22"/>
  <c r="C220" i="25" s="1"/>
  <c r="I159" i="25"/>
  <c r="I155" i="25"/>
  <c r="I152" i="25"/>
  <c r="I109" i="20"/>
  <c r="G193" i="25"/>
  <c r="I143" i="20"/>
  <c r="I140" i="20"/>
  <c r="I191" i="25"/>
  <c r="I236" i="20"/>
  <c r="I232" i="20"/>
  <c r="I228" i="20"/>
  <c r="G259" i="25"/>
  <c r="C297" i="22"/>
  <c r="C258" i="25" s="1"/>
  <c r="G255" i="25"/>
  <c r="C293" i="22"/>
  <c r="C254" i="25" s="1"/>
  <c r="G251" i="25"/>
  <c r="C289" i="22"/>
  <c r="C250" i="25" s="1"/>
  <c r="I246" i="25"/>
  <c r="I242" i="25"/>
  <c r="I238" i="25"/>
  <c r="I234" i="25"/>
  <c r="I230" i="25"/>
  <c r="I226" i="25"/>
  <c r="I222" i="25"/>
  <c r="I218" i="25"/>
  <c r="G159" i="25"/>
  <c r="C254" i="22"/>
  <c r="C158" i="25" s="1"/>
  <c r="G155" i="25"/>
  <c r="C250" i="22"/>
  <c r="C154" i="25" s="1"/>
  <c r="G152" i="25"/>
  <c r="C246" i="22"/>
  <c r="C151" i="25" s="1"/>
  <c r="I214" i="25"/>
  <c r="G197" i="25"/>
  <c r="G143" i="20"/>
  <c r="G236" i="20"/>
  <c r="C307" i="22"/>
  <c r="G232" i="20"/>
  <c r="C303" i="22"/>
  <c r="G228" i="20"/>
  <c r="I256" i="25"/>
  <c r="I252" i="25"/>
  <c r="I248" i="25"/>
  <c r="G246" i="25"/>
  <c r="C284" i="22"/>
  <c r="C245" i="25" s="1"/>
  <c r="G242" i="25"/>
  <c r="C280" i="22"/>
  <c r="C241" i="25" s="1"/>
  <c r="G238" i="25"/>
  <c r="C276" i="22"/>
  <c r="C237" i="25" s="1"/>
  <c r="G234" i="25"/>
  <c r="C272" i="22"/>
  <c r="C233" i="25" s="1"/>
  <c r="G230" i="25"/>
  <c r="C268" i="22"/>
  <c r="C229" i="25" s="1"/>
  <c r="G226" i="25"/>
  <c r="C264" i="22"/>
  <c r="C225" i="25" s="1"/>
  <c r="G222" i="25"/>
  <c r="C260" i="22"/>
  <c r="C221" i="25" s="1"/>
  <c r="G218" i="25"/>
  <c r="I156" i="25"/>
  <c r="I153" i="25"/>
  <c r="I216" i="25"/>
  <c r="I139" i="20"/>
  <c r="I237" i="20"/>
  <c r="I233" i="20"/>
  <c r="I229" i="20"/>
  <c r="C298" i="22"/>
  <c r="C259" i="25" s="1"/>
  <c r="G256" i="25"/>
  <c r="C294" i="22"/>
  <c r="C255" i="25" s="1"/>
  <c r="G252" i="25"/>
  <c r="C290" i="22"/>
  <c r="C251" i="25" s="1"/>
  <c r="G248" i="25"/>
  <c r="I243" i="25"/>
  <c r="I239" i="25"/>
  <c r="I235" i="25"/>
  <c r="I231" i="25"/>
  <c r="I227" i="25"/>
  <c r="I223" i="25"/>
  <c r="C255" i="22"/>
  <c r="C159" i="25" s="1"/>
  <c r="C251" i="22"/>
  <c r="C155" i="25" s="1"/>
  <c r="C247" i="22"/>
  <c r="C152" i="25" s="1"/>
  <c r="G167" i="25"/>
  <c r="G216" i="25"/>
  <c r="I196" i="25"/>
  <c r="G139" i="20"/>
  <c r="C206" i="22"/>
  <c r="C196" i="25" s="1"/>
  <c r="I215" i="25"/>
  <c r="A219" i="22"/>
  <c r="G210" i="25"/>
  <c r="C216" i="22"/>
  <c r="C209" i="25" s="1"/>
  <c r="I160" i="20"/>
  <c r="I156" i="20"/>
  <c r="I194" i="25"/>
  <c r="G149" i="20"/>
  <c r="C199" i="22"/>
  <c r="G145" i="20"/>
  <c r="C195" i="22"/>
  <c r="G141" i="20"/>
  <c r="C191" i="22"/>
  <c r="G191" i="25"/>
  <c r="C187" i="22"/>
  <c r="I76" i="20"/>
  <c r="I72" i="20"/>
  <c r="I68" i="20"/>
  <c r="I161" i="25"/>
  <c r="G215" i="25"/>
  <c r="C222" i="22"/>
  <c r="G160" i="20"/>
  <c r="C211" i="22"/>
  <c r="C198" i="25" s="1"/>
  <c r="C207" i="22"/>
  <c r="C197" i="25" s="1"/>
  <c r="G194" i="25"/>
  <c r="C203" i="22"/>
  <c r="C193" i="25" s="1"/>
  <c r="G76" i="20"/>
  <c r="C182" i="22"/>
  <c r="G72" i="20"/>
  <c r="C178" i="22"/>
  <c r="C163" i="25" s="1"/>
  <c r="G68" i="20"/>
  <c r="C174" i="22"/>
  <c r="G161" i="25"/>
  <c r="C225" i="22"/>
  <c r="C216" i="25" s="1"/>
  <c r="C221" i="22"/>
  <c r="C214" i="25" s="1"/>
  <c r="C210" i="22"/>
  <c r="I84" i="20"/>
  <c r="I185" i="20"/>
  <c r="I213" i="25"/>
  <c r="C217" i="22"/>
  <c r="C210" i="25" s="1"/>
  <c r="I157" i="20"/>
  <c r="I195" i="25"/>
  <c r="C192" i="22"/>
  <c r="I77" i="20"/>
  <c r="I73" i="20"/>
  <c r="I69" i="20"/>
  <c r="I162" i="25"/>
  <c r="G185" i="20"/>
  <c r="G213" i="25"/>
  <c r="G161" i="20"/>
  <c r="G157" i="20"/>
  <c r="C208" i="22"/>
  <c r="G195" i="25"/>
  <c r="C204" i="22"/>
  <c r="C194" i="25" s="1"/>
  <c r="G77" i="20"/>
  <c r="G73" i="20"/>
  <c r="G69" i="20"/>
  <c r="G162" i="25"/>
  <c r="C171" i="22"/>
  <c r="C161" i="25" s="1"/>
  <c r="C218" i="22"/>
  <c r="C211" i="25" s="1"/>
  <c r="A202" i="22"/>
  <c r="C201" i="22"/>
  <c r="C197" i="22"/>
  <c r="C193" i="22"/>
  <c r="C189" i="22"/>
  <c r="G110" i="20"/>
  <c r="I184" i="25"/>
  <c r="C224" i="22"/>
  <c r="C220" i="22"/>
  <c r="C213" i="25" s="1"/>
  <c r="C213" i="22"/>
  <c r="C209" i="22"/>
  <c r="C205" i="22"/>
  <c r="C195" i="25" s="1"/>
  <c r="C184" i="22"/>
  <c r="C180" i="22"/>
  <c r="C176" i="22"/>
  <c r="C172" i="22"/>
  <c r="C162" i="25" s="1"/>
  <c r="C215" i="22"/>
  <c r="C208" i="25" s="1"/>
  <c r="C148" i="22"/>
  <c r="C142" i="22"/>
  <c r="C158" i="22"/>
  <c r="C182" i="25" s="1"/>
  <c r="I112" i="20"/>
  <c r="I80" i="20"/>
  <c r="C168" i="22"/>
  <c r="C187" i="25" s="1"/>
  <c r="C164" i="22"/>
  <c r="I180" i="25"/>
  <c r="C150" i="22"/>
  <c r="C175" i="25" s="1"/>
  <c r="C160" i="22"/>
  <c r="C184" i="25" s="1"/>
  <c r="I174" i="25"/>
  <c r="A146" i="22"/>
  <c r="G93" i="20"/>
  <c r="C154" i="22"/>
  <c r="C178" i="25" s="1"/>
  <c r="I183" i="25"/>
  <c r="C156" i="22"/>
  <c r="C180" i="25" s="1"/>
  <c r="C162" i="22"/>
  <c r="C134" i="22"/>
  <c r="G183" i="25"/>
  <c r="C152" i="22"/>
  <c r="C176" i="25" s="1"/>
  <c r="I113" i="20"/>
  <c r="G85" i="20"/>
  <c r="I165" i="25"/>
  <c r="C166" i="22"/>
  <c r="G113" i="20"/>
  <c r="I88" i="20"/>
  <c r="G81" i="20"/>
  <c r="C167" i="22"/>
  <c r="C163" i="22"/>
  <c r="C186" i="25" s="1"/>
  <c r="C159" i="22"/>
  <c r="C183" i="25" s="1"/>
  <c r="C155" i="22"/>
  <c r="C179" i="25" s="1"/>
  <c r="C151" i="22"/>
  <c r="C147" i="22"/>
  <c r="C74" i="22"/>
  <c r="G140" i="25"/>
  <c r="I148" i="25"/>
  <c r="I188" i="25"/>
  <c r="I129" i="20"/>
  <c r="I185" i="25"/>
  <c r="I181" i="25"/>
  <c r="I177" i="25"/>
  <c r="G169" i="25"/>
  <c r="C143" i="22"/>
  <c r="G168" i="25"/>
  <c r="C139" i="22"/>
  <c r="C167" i="25" s="1"/>
  <c r="G86" i="20"/>
  <c r="C135" i="22"/>
  <c r="G82" i="20"/>
  <c r="C131" i="22"/>
  <c r="G165" i="25"/>
  <c r="G105" i="20"/>
  <c r="I95" i="20"/>
  <c r="I91" i="20"/>
  <c r="I83" i="20"/>
  <c r="I166" i="25"/>
  <c r="I178" i="25"/>
  <c r="G87" i="20"/>
  <c r="C128" i="22"/>
  <c r="C165" i="25" s="1"/>
  <c r="I132" i="25"/>
  <c r="G137" i="25"/>
  <c r="C169" i="22"/>
  <c r="C188" i="25" s="1"/>
  <c r="G130" i="20"/>
  <c r="C165" i="22"/>
  <c r="G126" i="20"/>
  <c r="C161" i="22"/>
  <c r="C185" i="25" s="1"/>
  <c r="G182" i="25"/>
  <c r="C157" i="22"/>
  <c r="C181" i="25" s="1"/>
  <c r="G178" i="25"/>
  <c r="C153" i="22"/>
  <c r="C177" i="25" s="1"/>
  <c r="G175" i="25"/>
  <c r="C149" i="22"/>
  <c r="C174" i="25" s="1"/>
  <c r="I175" i="25"/>
  <c r="C140" i="22"/>
  <c r="C168" i="25" s="1"/>
  <c r="G166" i="25"/>
  <c r="C145" i="22"/>
  <c r="C141" i="22"/>
  <c r="C137" i="22"/>
  <c r="C133" i="22"/>
  <c r="C129" i="22"/>
  <c r="C166" i="25" s="1"/>
  <c r="I126" i="20"/>
  <c r="I182" i="25"/>
  <c r="G95" i="20"/>
  <c r="C144" i="22"/>
  <c r="C169" i="25" s="1"/>
  <c r="G91" i="20"/>
  <c r="C136" i="22"/>
  <c r="G83" i="20"/>
  <c r="I131" i="25"/>
  <c r="G147" i="25"/>
  <c r="G172" i="25"/>
  <c r="G203" i="25"/>
  <c r="C103" i="22"/>
  <c r="G141" i="25"/>
  <c r="G98" i="20"/>
  <c r="G102" i="20"/>
  <c r="G106" i="20"/>
  <c r="C107" i="22"/>
  <c r="C81" i="22"/>
  <c r="C136" i="25" s="1"/>
  <c r="G26" i="20"/>
  <c r="G168" i="20"/>
  <c r="C99" i="22"/>
  <c r="C83" i="22"/>
  <c r="C137" i="25" s="1"/>
  <c r="C91" i="22"/>
  <c r="C148" i="25" s="1"/>
  <c r="G200" i="25"/>
  <c r="G205" i="25"/>
  <c r="C95" i="22"/>
  <c r="C171" i="25" s="1"/>
  <c r="C87" i="22"/>
  <c r="C141" i="25" s="1"/>
  <c r="C97" i="22"/>
  <c r="C101" i="22"/>
  <c r="C89" i="22"/>
  <c r="C146" i="25" s="1"/>
  <c r="G131" i="25"/>
  <c r="G136" i="25"/>
  <c r="C84" i="22"/>
  <c r="C138" i="25" s="1"/>
  <c r="G139" i="25"/>
  <c r="G171" i="25"/>
  <c r="C98" i="22"/>
  <c r="G100" i="20"/>
  <c r="C102" i="22"/>
  <c r="G104" i="20"/>
  <c r="C106" i="22"/>
  <c r="G108" i="20"/>
  <c r="C110" i="22"/>
  <c r="I163" i="20"/>
  <c r="I167" i="20"/>
  <c r="I202" i="25"/>
  <c r="I205" i="25"/>
  <c r="C93" i="22"/>
  <c r="I136" i="25"/>
  <c r="I139" i="25"/>
  <c r="G146" i="25"/>
  <c r="C92" i="22"/>
  <c r="C149" i="25" s="1"/>
  <c r="G54" i="20"/>
  <c r="I171" i="25"/>
  <c r="I100" i="20"/>
  <c r="I104" i="20"/>
  <c r="I108" i="20"/>
  <c r="G162" i="20"/>
  <c r="C115" i="22"/>
  <c r="C201" i="25" s="1"/>
  <c r="G166" i="20"/>
  <c r="C119" i="22"/>
  <c r="G170" i="20"/>
  <c r="C123" i="22"/>
  <c r="C204" i="25" s="1"/>
  <c r="G174" i="20"/>
  <c r="C116" i="22"/>
  <c r="C124" i="22"/>
  <c r="G138" i="25"/>
  <c r="I146" i="25"/>
  <c r="I54" i="20"/>
  <c r="G99" i="20"/>
  <c r="G103" i="20"/>
  <c r="C105" i="22"/>
  <c r="G107" i="20"/>
  <c r="C109" i="22"/>
  <c r="G111" i="20"/>
  <c r="I162" i="20"/>
  <c r="I166" i="20"/>
  <c r="I170" i="20"/>
  <c r="I174" i="20"/>
  <c r="C112" i="22"/>
  <c r="C120" i="22"/>
  <c r="A80" i="22"/>
  <c r="G149" i="25"/>
  <c r="A94" i="22"/>
  <c r="C114" i="22"/>
  <c r="C200" i="25" s="1"/>
  <c r="G201" i="25"/>
  <c r="C118" i="22"/>
  <c r="G169" i="20"/>
  <c r="C122" i="22"/>
  <c r="C203" i="25" s="1"/>
  <c r="G204" i="25"/>
  <c r="C126" i="22"/>
  <c r="C206" i="25" s="1"/>
  <c r="C82" i="22"/>
  <c r="C86" i="22"/>
  <c r="C140" i="25" s="1"/>
  <c r="A88" i="22"/>
  <c r="C96" i="22"/>
  <c r="C172" i="25" s="1"/>
  <c r="C100" i="22"/>
  <c r="C104" i="22"/>
  <c r="C108" i="22"/>
  <c r="A111" i="22"/>
  <c r="C90" i="22"/>
  <c r="C147" i="25" s="1"/>
  <c r="C113" i="22"/>
  <c r="C117" i="22"/>
  <c r="C121" i="22"/>
  <c r="C202" i="25" s="1"/>
  <c r="C125" i="22"/>
  <c r="C205" i="25" s="1"/>
  <c r="G206" i="25"/>
  <c r="I7" i="20"/>
  <c r="G7" i="20"/>
  <c r="I133" i="25"/>
  <c r="I17" i="20"/>
  <c r="G10" i="20"/>
  <c r="G16" i="20"/>
  <c r="G126" i="25"/>
  <c r="G19" i="20"/>
  <c r="C70" i="22"/>
  <c r="C66" i="22"/>
  <c r="C126" i="25" s="1"/>
  <c r="I18" i="20"/>
  <c r="C69" i="22"/>
  <c r="C129" i="25" s="1"/>
  <c r="I11" i="20"/>
  <c r="I5" i="20"/>
  <c r="G11" i="20"/>
  <c r="I23" i="20"/>
  <c r="A55" i="22"/>
  <c r="I9" i="20"/>
  <c r="I6" i="20"/>
  <c r="I8" i="20"/>
  <c r="G6" i="20"/>
  <c r="A71" i="22"/>
  <c r="G132" i="25"/>
  <c r="G17" i="20"/>
  <c r="I127" i="25"/>
  <c r="G8" i="20"/>
  <c r="G4" i="20"/>
  <c r="G133" i="25"/>
  <c r="G18" i="20"/>
  <c r="I128" i="25"/>
  <c r="G9" i="20"/>
  <c r="G5" i="20"/>
  <c r="G128" i="25"/>
  <c r="C67" i="22"/>
  <c r="C127" i="25" s="1"/>
  <c r="I129" i="25"/>
  <c r="A65" i="22"/>
  <c r="G129" i="25"/>
  <c r="C68" i="22"/>
  <c r="C128" i="25" s="1"/>
  <c r="C78" i="22"/>
  <c r="B275" i="20"/>
  <c r="B211" i="20"/>
  <c r="B147" i="20"/>
  <c r="B88" i="20"/>
  <c r="B25" i="20"/>
  <c r="B330" i="20"/>
  <c r="B267" i="20"/>
  <c r="B203" i="20"/>
  <c r="B80" i="20"/>
  <c r="B16" i="20"/>
  <c r="B322" i="20"/>
  <c r="B259" i="20"/>
  <c r="B195" i="20"/>
  <c r="B72" i="20"/>
  <c r="B8" i="20"/>
  <c r="B251" i="20"/>
  <c r="B187" i="20"/>
  <c r="B127" i="20"/>
  <c r="B64" i="20"/>
  <c r="B306" i="20"/>
  <c r="B243" i="20"/>
  <c r="B119" i="20"/>
  <c r="B56" i="20"/>
  <c r="B299" i="20"/>
  <c r="B235" i="20"/>
  <c r="B171" i="20"/>
  <c r="B111" i="20"/>
  <c r="B48" i="20"/>
  <c r="B291" i="20"/>
  <c r="B227" i="20"/>
  <c r="B163" i="20"/>
  <c r="B103" i="20"/>
  <c r="B40" i="20"/>
  <c r="B283" i="20"/>
  <c r="B219" i="20"/>
  <c r="B155" i="20"/>
  <c r="B95" i="20"/>
  <c r="B32" i="20"/>
  <c r="C332" i="20"/>
  <c r="B329" i="20"/>
  <c r="B321" i="20"/>
  <c r="B313" i="20"/>
  <c r="B305" i="20"/>
  <c r="B298" i="20"/>
  <c r="B290" i="20"/>
  <c r="B282" i="20"/>
  <c r="B274" i="20"/>
  <c r="B266" i="20"/>
  <c r="B258" i="20"/>
  <c r="B242" i="20"/>
  <c r="B234" i="20"/>
  <c r="B226" i="20"/>
  <c r="B218" i="20"/>
  <c r="B210" i="20"/>
  <c r="B202" i="20"/>
  <c r="B194" i="20"/>
  <c r="B186" i="20"/>
  <c r="B178" i="20"/>
  <c r="B162" i="20"/>
  <c r="B154" i="20"/>
  <c r="B146" i="20"/>
  <c r="B141" i="20"/>
  <c r="B134" i="20"/>
  <c r="B126" i="20"/>
  <c r="B118" i="20"/>
  <c r="B110" i="20"/>
  <c r="B102" i="20"/>
  <c r="B94" i="20"/>
  <c r="B87" i="20"/>
  <c r="B79" i="20"/>
  <c r="B71" i="20"/>
  <c r="B63" i="20"/>
  <c r="B55" i="20"/>
  <c r="B47" i="20"/>
  <c r="B39" i="20"/>
  <c r="B31" i="20"/>
  <c r="B23" i="20"/>
  <c r="B15" i="20"/>
  <c r="B7" i="20"/>
  <c r="C118" i="20"/>
  <c r="B328" i="20"/>
  <c r="B320" i="20"/>
  <c r="B312" i="20"/>
  <c r="B304" i="20"/>
  <c r="B297" i="20"/>
  <c r="B289" i="20"/>
  <c r="B281" i="20"/>
  <c r="B273" i="20"/>
  <c r="B265" i="20"/>
  <c r="B257" i="20"/>
  <c r="B249" i="20"/>
  <c r="B241" i="20"/>
  <c r="B233" i="20"/>
  <c r="B225" i="20"/>
  <c r="B217" i="20"/>
  <c r="B209" i="20"/>
  <c r="B201" i="20"/>
  <c r="B193" i="20"/>
  <c r="B185" i="20"/>
  <c r="B177" i="20"/>
  <c r="B169" i="20"/>
  <c r="B161" i="20"/>
  <c r="B153" i="20"/>
  <c r="B145" i="20"/>
  <c r="B140" i="20"/>
  <c r="B133" i="20"/>
  <c r="B125" i="20"/>
  <c r="B117" i="20"/>
  <c r="B109" i="20"/>
  <c r="B101" i="20"/>
  <c r="B93" i="20"/>
  <c r="B86" i="20"/>
  <c r="B78" i="20"/>
  <c r="B70" i="20"/>
  <c r="B62" i="20"/>
  <c r="B54" i="20"/>
  <c r="B46" i="20"/>
  <c r="B38" i="20"/>
  <c r="B30" i="20"/>
  <c r="B22" i="20"/>
  <c r="B14" i="20"/>
  <c r="C80" i="20"/>
  <c r="B327" i="20"/>
  <c r="B319" i="20"/>
  <c r="B311" i="20"/>
  <c r="B303" i="20"/>
  <c r="B296" i="20"/>
  <c r="B288" i="20"/>
  <c r="B272" i="20"/>
  <c r="B264" i="20"/>
  <c r="B256" i="20"/>
  <c r="B248" i="20"/>
  <c r="B240" i="20"/>
  <c r="B232" i="20"/>
  <c r="B224" i="20"/>
  <c r="B216" i="20"/>
  <c r="B200" i="20"/>
  <c r="B192" i="20"/>
  <c r="B184" i="20"/>
  <c r="B176" i="20"/>
  <c r="B160" i="20"/>
  <c r="B132" i="20"/>
  <c r="B108" i="20"/>
  <c r="B100" i="20"/>
  <c r="B77" i="20"/>
  <c r="B69" i="20"/>
  <c r="B37" i="20"/>
  <c r="B5" i="20"/>
  <c r="C58" i="20"/>
  <c r="B3" i="20"/>
  <c r="B326" i="20"/>
  <c r="B318" i="20"/>
  <c r="B310" i="20"/>
  <c r="B295" i="20"/>
  <c r="B287" i="20"/>
  <c r="B279" i="20"/>
  <c r="B271" i="20"/>
  <c r="B263" i="20"/>
  <c r="B255" i="20"/>
  <c r="B247" i="20"/>
  <c r="B239" i="20"/>
  <c r="B231" i="20"/>
  <c r="B223" i="20"/>
  <c r="B215" i="20"/>
  <c r="B207" i="20"/>
  <c r="B199" i="20"/>
  <c r="B191" i="20"/>
  <c r="B183" i="20"/>
  <c r="B175" i="20"/>
  <c r="B167" i="20"/>
  <c r="B159" i="20"/>
  <c r="B151" i="20"/>
  <c r="B143" i="20"/>
  <c r="B131" i="20"/>
  <c r="B123" i="20"/>
  <c r="B115" i="20"/>
  <c r="B107" i="20"/>
  <c r="B99" i="20"/>
  <c r="B91" i="20"/>
  <c r="B76" i="20"/>
  <c r="B60" i="20"/>
  <c r="B52" i="20"/>
  <c r="B44" i="20"/>
  <c r="B28" i="20"/>
  <c r="B12" i="20"/>
  <c r="B4" i="20"/>
  <c r="B333" i="20"/>
  <c r="B325" i="20"/>
  <c r="B317" i="20"/>
  <c r="B309" i="20"/>
  <c r="B294" i="20"/>
  <c r="B286" i="20"/>
  <c r="B278" i="20"/>
  <c r="B262" i="20"/>
  <c r="B254" i="20"/>
  <c r="B246" i="20"/>
  <c r="B238" i="20"/>
  <c r="B230" i="20"/>
  <c r="B222" i="20"/>
  <c r="B214" i="20"/>
  <c r="B206" i="20"/>
  <c r="B198" i="20"/>
  <c r="B190" i="20"/>
  <c r="B182" i="20"/>
  <c r="B174" i="20"/>
  <c r="B166" i="20"/>
  <c r="B158" i="20"/>
  <c r="B150" i="20"/>
  <c r="B142" i="20"/>
  <c r="B137" i="20"/>
  <c r="B130" i="20"/>
  <c r="B122" i="20"/>
  <c r="B114" i="20"/>
  <c r="B106" i="20"/>
  <c r="B98" i="20"/>
  <c r="B90" i="20"/>
  <c r="B83" i="20"/>
  <c r="B75" i="20"/>
  <c r="B67" i="20"/>
  <c r="B59" i="20"/>
  <c r="B51" i="20"/>
  <c r="B43" i="20"/>
  <c r="B35" i="20"/>
  <c r="B19" i="20"/>
  <c r="B11" i="20"/>
  <c r="B332" i="20"/>
  <c r="B324" i="20"/>
  <c r="B316" i="20"/>
  <c r="B308" i="20"/>
  <c r="B285" i="20"/>
  <c r="B277" i="20"/>
  <c r="B261" i="20"/>
  <c r="B253" i="20"/>
  <c r="B245" i="20"/>
  <c r="B237" i="20"/>
  <c r="B181" i="20"/>
  <c r="B173" i="20"/>
  <c r="B165" i="20"/>
  <c r="B157" i="20"/>
  <c r="B149" i="20"/>
  <c r="B136" i="20"/>
  <c r="B129" i="20"/>
  <c r="B121" i="20"/>
  <c r="B113" i="20"/>
  <c r="B89" i="20"/>
  <c r="B82" i="20"/>
  <c r="B58" i="20"/>
  <c r="B50" i="20"/>
  <c r="B42" i="20"/>
  <c r="B34" i="20"/>
  <c r="B10" i="20"/>
  <c r="B300" i="20"/>
  <c r="B292" i="20"/>
  <c r="B284" i="20"/>
  <c r="B276" i="20"/>
  <c r="B268" i="20"/>
  <c r="B260" i="20"/>
  <c r="B252" i="20"/>
  <c r="B244" i="20"/>
  <c r="B236" i="20"/>
  <c r="B228" i="20"/>
  <c r="B212" i="20"/>
  <c r="B204" i="20"/>
  <c r="B180" i="20"/>
  <c r="B172" i="20"/>
  <c r="B164" i="20"/>
  <c r="B148" i="20"/>
  <c r="B135" i="20"/>
  <c r="B128" i="20"/>
  <c r="B120" i="20"/>
  <c r="B112" i="20"/>
  <c r="B73" i="20"/>
  <c r="B65" i="20"/>
  <c r="B57" i="20"/>
  <c r="B49" i="20"/>
  <c r="B41" i="20"/>
  <c r="B33" i="20"/>
  <c r="B26" i="20"/>
  <c r="B17" i="20"/>
  <c r="D138" i="20"/>
  <c r="D36" i="20"/>
  <c r="C6" i="20"/>
  <c r="D12" i="20"/>
  <c r="D167" i="20"/>
  <c r="E280" i="20"/>
  <c r="D232" i="20"/>
  <c r="E208" i="20"/>
  <c r="E176" i="20"/>
  <c r="D168" i="20"/>
  <c r="E152" i="20"/>
  <c r="D144" i="20"/>
  <c r="D139" i="20"/>
  <c r="E124" i="20"/>
  <c r="D116" i="20"/>
  <c r="E92" i="20"/>
  <c r="D85" i="20"/>
  <c r="E61" i="20"/>
  <c r="D53" i="20"/>
  <c r="D45" i="20"/>
  <c r="E29" i="20"/>
  <c r="D21" i="20"/>
  <c r="D13" i="20"/>
  <c r="C82" i="20"/>
  <c r="E33" i="20"/>
  <c r="L33" i="20" s="1"/>
  <c r="D228" i="20"/>
  <c r="D207" i="20"/>
  <c r="D199" i="20"/>
  <c r="D191" i="20"/>
  <c r="D84" i="20"/>
  <c r="D68" i="20"/>
  <c r="D76" i="20"/>
  <c r="C301" i="20"/>
  <c r="D293" i="20"/>
  <c r="C277" i="20"/>
  <c r="C269" i="20"/>
  <c r="C261" i="20"/>
  <c r="C229" i="20"/>
  <c r="C221" i="20"/>
  <c r="C213" i="20"/>
  <c r="C205" i="20"/>
  <c r="C197" i="20"/>
  <c r="C189" i="20"/>
  <c r="C129" i="20"/>
  <c r="C121" i="20"/>
  <c r="C113" i="20"/>
  <c r="C105" i="20"/>
  <c r="C97" i="20"/>
  <c r="C89" i="20"/>
  <c r="C74" i="20"/>
  <c r="C66" i="20"/>
  <c r="C27" i="20"/>
  <c r="C18" i="20"/>
  <c r="C285" i="20"/>
  <c r="C56" i="20"/>
  <c r="D77" i="20"/>
  <c r="D175" i="20"/>
  <c r="D159" i="20"/>
  <c r="D52" i="20"/>
  <c r="D20" i="20"/>
  <c r="C284" i="20"/>
  <c r="D260" i="20"/>
  <c r="C252" i="20"/>
  <c r="E220" i="20"/>
  <c r="D196" i="20"/>
  <c r="E188" i="20"/>
  <c r="D156" i="20"/>
  <c r="D104" i="20"/>
  <c r="E96" i="20"/>
  <c r="D73" i="20"/>
  <c r="E65" i="20"/>
  <c r="C33" i="20"/>
  <c r="C9" i="20"/>
  <c r="C242" i="20"/>
  <c r="C34" i="20"/>
  <c r="D115" i="20"/>
  <c r="D143" i="20"/>
  <c r="D131" i="20"/>
  <c r="D231" i="20"/>
  <c r="C259" i="20"/>
  <c r="C251" i="20"/>
  <c r="E243" i="20"/>
  <c r="D179" i="20"/>
  <c r="C155" i="20"/>
  <c r="D147" i="20"/>
  <c r="C194" i="20"/>
  <c r="C32" i="20"/>
  <c r="E116" i="20"/>
  <c r="E239" i="20"/>
  <c r="L239" i="20" s="1"/>
  <c r="D223" i="20"/>
  <c r="D44" i="20"/>
  <c r="C283" i="20"/>
  <c r="E275" i="20"/>
  <c r="C111" i="20"/>
  <c r="C48" i="20"/>
  <c r="C40" i="20"/>
  <c r="C298" i="20"/>
  <c r="C258" i="20"/>
  <c r="C250" i="20"/>
  <c r="C178" i="20"/>
  <c r="C170" i="20"/>
  <c r="C134" i="20"/>
  <c r="C126" i="20"/>
  <c r="C110" i="20"/>
  <c r="C63" i="20"/>
  <c r="C55" i="20"/>
  <c r="C47" i="20"/>
  <c r="C157" i="20"/>
  <c r="D9" i="20"/>
  <c r="D239" i="20"/>
  <c r="C25" i="20"/>
  <c r="E85" i="20"/>
  <c r="E252" i="20"/>
  <c r="E21" i="20"/>
  <c r="L21" i="20" s="1"/>
  <c r="E53" i="20"/>
  <c r="D88" i="20"/>
  <c r="D284" i="20"/>
  <c r="E144" i="20"/>
  <c r="E284" i="20"/>
  <c r="C293" i="20"/>
  <c r="C165" i="20"/>
  <c r="D33" i="20"/>
  <c r="D65" i="20"/>
  <c r="D220" i="20"/>
  <c r="D275" i="20"/>
  <c r="E329" i="20"/>
  <c r="D329" i="20"/>
  <c r="E321" i="20"/>
  <c r="D321" i="20"/>
  <c r="E313" i="20"/>
  <c r="D313" i="20"/>
  <c r="E305" i="20"/>
  <c r="D305" i="20"/>
  <c r="E298" i="20"/>
  <c r="D298" i="20"/>
  <c r="E290" i="20"/>
  <c r="D290" i="20"/>
  <c r="E282" i="20"/>
  <c r="D282" i="20"/>
  <c r="E274" i="20"/>
  <c r="D274" i="20"/>
  <c r="E266" i="20"/>
  <c r="D266" i="20"/>
  <c r="E258" i="20"/>
  <c r="D258" i="20"/>
  <c r="E250" i="20"/>
  <c r="D250" i="20"/>
  <c r="E242" i="20"/>
  <c r="D242" i="20"/>
  <c r="E234" i="20"/>
  <c r="D234" i="20"/>
  <c r="E226" i="20"/>
  <c r="D226" i="20"/>
  <c r="E218" i="20"/>
  <c r="D218" i="20"/>
  <c r="E210" i="20"/>
  <c r="D210" i="20"/>
  <c r="E202" i="20"/>
  <c r="D202" i="20"/>
  <c r="E194" i="20"/>
  <c r="D194" i="20"/>
  <c r="E186" i="20"/>
  <c r="D186" i="20"/>
  <c r="E178" i="20"/>
  <c r="D178" i="20"/>
  <c r="E170" i="20"/>
  <c r="D170" i="20"/>
  <c r="E162" i="20"/>
  <c r="D162" i="20"/>
  <c r="E154" i="20"/>
  <c r="D154" i="20"/>
  <c r="E146" i="20"/>
  <c r="D146" i="20"/>
  <c r="E141" i="20"/>
  <c r="D141" i="20"/>
  <c r="E134" i="20"/>
  <c r="D134" i="20"/>
  <c r="E126" i="20"/>
  <c r="D126" i="20"/>
  <c r="E118" i="20"/>
  <c r="D118" i="20"/>
  <c r="E110" i="20"/>
  <c r="D110" i="20"/>
  <c r="E102" i="20"/>
  <c r="D102" i="20"/>
  <c r="E94" i="20"/>
  <c r="D94" i="20"/>
  <c r="E87" i="20"/>
  <c r="D87" i="20"/>
  <c r="E79" i="20"/>
  <c r="D79" i="20"/>
  <c r="E71" i="20"/>
  <c r="D71" i="20"/>
  <c r="E63" i="20"/>
  <c r="D63" i="20"/>
  <c r="E55" i="20"/>
  <c r="D55" i="20"/>
  <c r="E47" i="20"/>
  <c r="D47" i="20"/>
  <c r="E39" i="20"/>
  <c r="D39" i="20"/>
  <c r="E31" i="20"/>
  <c r="D31" i="20"/>
  <c r="E23" i="20"/>
  <c r="L23" i="20" s="1"/>
  <c r="D23" i="20"/>
  <c r="E15" i="20"/>
  <c r="D15" i="20"/>
  <c r="E7" i="20"/>
  <c r="L7" i="20" s="1"/>
  <c r="D7" i="20"/>
  <c r="C7" i="20"/>
  <c r="C282" i="20"/>
  <c r="C218" i="20"/>
  <c r="C154" i="20"/>
  <c r="C94" i="20"/>
  <c r="C31" i="20"/>
  <c r="D252" i="20"/>
  <c r="E330" i="20"/>
  <c r="D330" i="20"/>
  <c r="E322" i="20"/>
  <c r="D322" i="20"/>
  <c r="E314" i="20"/>
  <c r="D314" i="20"/>
  <c r="E306" i="20"/>
  <c r="D306" i="20"/>
  <c r="E299" i="20"/>
  <c r="D299" i="20"/>
  <c r="E291" i="20"/>
  <c r="D291" i="20"/>
  <c r="E283" i="20"/>
  <c r="D283" i="20"/>
  <c r="E259" i="20"/>
  <c r="D259" i="20"/>
  <c r="E235" i="20"/>
  <c r="D235" i="20"/>
  <c r="E211" i="20"/>
  <c r="E187" i="20"/>
  <c r="D187" i="20"/>
  <c r="E163" i="20"/>
  <c r="D163" i="20"/>
  <c r="E155" i="20"/>
  <c r="D155" i="20"/>
  <c r="E127" i="20"/>
  <c r="D127" i="20"/>
  <c r="E103" i="20"/>
  <c r="D103" i="20"/>
  <c r="E328" i="20"/>
  <c r="D328" i="20"/>
  <c r="C328" i="20"/>
  <c r="E304" i="20"/>
  <c r="L304" i="20" s="1"/>
  <c r="D304" i="20"/>
  <c r="C304" i="20"/>
  <c r="E289" i="20"/>
  <c r="D289" i="20"/>
  <c r="C289" i="20"/>
  <c r="E273" i="20"/>
  <c r="D273" i="20"/>
  <c r="C273" i="20"/>
  <c r="E249" i="20"/>
  <c r="D249" i="20"/>
  <c r="C249" i="20"/>
  <c r="E233" i="20"/>
  <c r="D233" i="20"/>
  <c r="C233" i="20"/>
  <c r="E217" i="20"/>
  <c r="D217" i="20"/>
  <c r="C217" i="20"/>
  <c r="E201" i="20"/>
  <c r="D201" i="20"/>
  <c r="C201" i="20"/>
  <c r="E185" i="20"/>
  <c r="D185" i="20"/>
  <c r="C185" i="20"/>
  <c r="E169" i="20"/>
  <c r="D169" i="20"/>
  <c r="C169" i="20"/>
  <c r="E161" i="20"/>
  <c r="D161" i="20"/>
  <c r="C161" i="20"/>
  <c r="E145" i="20"/>
  <c r="D145" i="20"/>
  <c r="C145" i="20"/>
  <c r="E133" i="20"/>
  <c r="D133" i="20"/>
  <c r="C133" i="20"/>
  <c r="E117" i="20"/>
  <c r="D117" i="20"/>
  <c r="C117" i="20"/>
  <c r="E101" i="20"/>
  <c r="D101" i="20"/>
  <c r="C101" i="20"/>
  <c r="E93" i="20"/>
  <c r="D93" i="20"/>
  <c r="C93" i="20"/>
  <c r="E78" i="20"/>
  <c r="D78" i="20"/>
  <c r="C78" i="20"/>
  <c r="E70" i="20"/>
  <c r="D70" i="20"/>
  <c r="C70" i="20"/>
  <c r="E62" i="20"/>
  <c r="D62" i="20"/>
  <c r="C62" i="20"/>
  <c r="E46" i="20"/>
  <c r="D46" i="20"/>
  <c r="C46" i="20"/>
  <c r="E38" i="20"/>
  <c r="D38" i="20"/>
  <c r="C38" i="20"/>
  <c r="E30" i="20"/>
  <c r="D30" i="20"/>
  <c r="C30" i="20"/>
  <c r="E22" i="20"/>
  <c r="L22" i="20" s="1"/>
  <c r="D22" i="20"/>
  <c r="C22" i="20"/>
  <c r="E14" i="20"/>
  <c r="D14" i="20"/>
  <c r="C14" i="20"/>
  <c r="E6" i="20"/>
  <c r="L6" i="20" s="1"/>
  <c r="D6" i="20"/>
  <c r="C235" i="20"/>
  <c r="E311" i="20"/>
  <c r="D311" i="20"/>
  <c r="C311" i="20"/>
  <c r="E288" i="20"/>
  <c r="D288" i="20"/>
  <c r="C288" i="20"/>
  <c r="C264" i="20"/>
  <c r="E264" i="20"/>
  <c r="C240" i="20"/>
  <c r="D240" i="20"/>
  <c r="E224" i="20"/>
  <c r="D224" i="20"/>
  <c r="C224" i="20"/>
  <c r="C200" i="20"/>
  <c r="E200" i="20"/>
  <c r="D184" i="20"/>
  <c r="C184" i="20"/>
  <c r="C168" i="20"/>
  <c r="E168" i="20"/>
  <c r="C275" i="20"/>
  <c r="C147" i="20"/>
  <c r="E3" i="20"/>
  <c r="L3" i="20" s="1"/>
  <c r="C3" i="20"/>
  <c r="E326" i="20"/>
  <c r="D326" i="20"/>
  <c r="C326" i="20"/>
  <c r="E318" i="20"/>
  <c r="C318" i="20"/>
  <c r="E310" i="20"/>
  <c r="C310" i="20"/>
  <c r="E295" i="20"/>
  <c r="D295" i="20"/>
  <c r="C295" i="20"/>
  <c r="E287" i="20"/>
  <c r="C287" i="20"/>
  <c r="D287" i="20"/>
  <c r="E279" i="20"/>
  <c r="D279" i="20"/>
  <c r="C279" i="20"/>
  <c r="E271" i="20"/>
  <c r="C271" i="20"/>
  <c r="E263" i="20"/>
  <c r="C263" i="20"/>
  <c r="E255" i="20"/>
  <c r="C255" i="20"/>
  <c r="D255" i="20"/>
  <c r="E247" i="20"/>
  <c r="D247" i="20"/>
  <c r="C247" i="20"/>
  <c r="C314" i="20"/>
  <c r="C274" i="20"/>
  <c r="C210" i="20"/>
  <c r="C187" i="20"/>
  <c r="C146" i="20"/>
  <c r="C127" i="20"/>
  <c r="C87" i="20"/>
  <c r="C23" i="20"/>
  <c r="D96" i="20"/>
  <c r="D263" i="20"/>
  <c r="E293" i="20"/>
  <c r="E319" i="20"/>
  <c r="D319" i="20"/>
  <c r="C319" i="20"/>
  <c r="E303" i="20"/>
  <c r="L303" i="20" s="1"/>
  <c r="D303" i="20"/>
  <c r="C303" i="20"/>
  <c r="D280" i="20"/>
  <c r="C280" i="20"/>
  <c r="E256" i="20"/>
  <c r="D256" i="20"/>
  <c r="C256" i="20"/>
  <c r="C232" i="20"/>
  <c r="E232" i="20"/>
  <c r="D216" i="20"/>
  <c r="C216" i="20"/>
  <c r="E192" i="20"/>
  <c r="D192" i="20"/>
  <c r="C192" i="20"/>
  <c r="C176" i="20"/>
  <c r="D176" i="20"/>
  <c r="E333" i="20"/>
  <c r="D333" i="20"/>
  <c r="C333" i="20"/>
  <c r="E325" i="20"/>
  <c r="D325" i="20"/>
  <c r="C325" i="20"/>
  <c r="E317" i="20"/>
  <c r="D317" i="20"/>
  <c r="C317" i="20"/>
  <c r="E309" i="20"/>
  <c r="D309" i="20"/>
  <c r="C309" i="20"/>
  <c r="E302" i="20"/>
  <c r="D302" i="20"/>
  <c r="C302" i="20"/>
  <c r="E294" i="20"/>
  <c r="C294" i="20"/>
  <c r="D294" i="20"/>
  <c r="E278" i="20"/>
  <c r="D278" i="20"/>
  <c r="C278" i="20"/>
  <c r="E270" i="20"/>
  <c r="D270" i="20"/>
  <c r="C270" i="20"/>
  <c r="E262" i="20"/>
  <c r="D262" i="20"/>
  <c r="C262" i="20"/>
  <c r="C291" i="20"/>
  <c r="C163" i="20"/>
  <c r="C103" i="20"/>
  <c r="D128" i="20"/>
  <c r="D264" i="20"/>
  <c r="D310" i="20"/>
  <c r="E267" i="20"/>
  <c r="D267" i="20"/>
  <c r="E251" i="20"/>
  <c r="D251" i="20"/>
  <c r="E227" i="20"/>
  <c r="D227" i="20"/>
  <c r="E203" i="20"/>
  <c r="D203" i="20"/>
  <c r="E195" i="20"/>
  <c r="D195" i="20"/>
  <c r="E171" i="20"/>
  <c r="D171" i="20"/>
  <c r="E147" i="20"/>
  <c r="E111" i="20"/>
  <c r="D111" i="20"/>
  <c r="E320" i="20"/>
  <c r="D320" i="20"/>
  <c r="C320" i="20"/>
  <c r="E312" i="20"/>
  <c r="D312" i="20"/>
  <c r="C312" i="20"/>
  <c r="E297" i="20"/>
  <c r="D297" i="20"/>
  <c r="C297" i="20"/>
  <c r="E281" i="20"/>
  <c r="D281" i="20"/>
  <c r="C281" i="20"/>
  <c r="E265" i="20"/>
  <c r="D265" i="20"/>
  <c r="C265" i="20"/>
  <c r="E257" i="20"/>
  <c r="D257" i="20"/>
  <c r="C257" i="20"/>
  <c r="E241" i="20"/>
  <c r="L241" i="20" s="1"/>
  <c r="D241" i="20"/>
  <c r="C241" i="20"/>
  <c r="E225" i="20"/>
  <c r="D225" i="20"/>
  <c r="C225" i="20"/>
  <c r="E209" i="20"/>
  <c r="D209" i="20"/>
  <c r="C209" i="20"/>
  <c r="E193" i="20"/>
  <c r="D193" i="20"/>
  <c r="C193" i="20"/>
  <c r="E177" i="20"/>
  <c r="D177" i="20"/>
  <c r="C177" i="20"/>
  <c r="E153" i="20"/>
  <c r="D153" i="20"/>
  <c r="C153" i="20"/>
  <c r="E140" i="20"/>
  <c r="D140" i="20"/>
  <c r="C140" i="20"/>
  <c r="E125" i="20"/>
  <c r="D125" i="20"/>
  <c r="C125" i="20"/>
  <c r="E109" i="20"/>
  <c r="D109" i="20"/>
  <c r="C109" i="20"/>
  <c r="E86" i="20"/>
  <c r="D86" i="20"/>
  <c r="C86" i="20"/>
  <c r="E54" i="20"/>
  <c r="D54" i="20"/>
  <c r="C54" i="20"/>
  <c r="C299" i="20"/>
  <c r="E327" i="20"/>
  <c r="D327" i="20"/>
  <c r="C327" i="20"/>
  <c r="E296" i="20"/>
  <c r="D296" i="20"/>
  <c r="C296" i="20"/>
  <c r="C272" i="20"/>
  <c r="D272" i="20"/>
  <c r="D248" i="20"/>
  <c r="C248" i="20"/>
  <c r="C208" i="20"/>
  <c r="D208" i="20"/>
  <c r="C211" i="20"/>
  <c r="D200" i="20"/>
  <c r="C227" i="20"/>
  <c r="E332" i="20"/>
  <c r="D332" i="20"/>
  <c r="E324" i="20"/>
  <c r="D324" i="20"/>
  <c r="E316" i="20"/>
  <c r="D316" i="20"/>
  <c r="E308" i="20"/>
  <c r="D308" i="20"/>
  <c r="E301" i="20"/>
  <c r="D301" i="20"/>
  <c r="C330" i="20"/>
  <c r="C308" i="20"/>
  <c r="C290" i="20"/>
  <c r="C267" i="20"/>
  <c r="C226" i="20"/>
  <c r="C203" i="20"/>
  <c r="C162" i="20"/>
  <c r="C102" i="20"/>
  <c r="C39" i="20"/>
  <c r="E184" i="20"/>
  <c r="D211" i="20"/>
  <c r="E240" i="20"/>
  <c r="L240" i="20" s="1"/>
  <c r="D271" i="20"/>
  <c r="D318" i="20"/>
  <c r="E219" i="20"/>
  <c r="D219" i="20"/>
  <c r="E179" i="20"/>
  <c r="E119" i="20"/>
  <c r="C171" i="20"/>
  <c r="E286" i="20"/>
  <c r="D286" i="20"/>
  <c r="C286" i="20"/>
  <c r="E331" i="20"/>
  <c r="D331" i="20"/>
  <c r="C331" i="20"/>
  <c r="E323" i="20"/>
  <c r="D323" i="20"/>
  <c r="C323" i="20"/>
  <c r="E315" i="20"/>
  <c r="D315" i="20"/>
  <c r="C315" i="20"/>
  <c r="E307" i="20"/>
  <c r="D307" i="20"/>
  <c r="C307" i="20"/>
  <c r="E300" i="20"/>
  <c r="D300" i="20"/>
  <c r="C300" i="20"/>
  <c r="D292" i="20"/>
  <c r="E292" i="20"/>
  <c r="C292" i="20"/>
  <c r="E276" i="20"/>
  <c r="D276" i="20"/>
  <c r="C276" i="20"/>
  <c r="E268" i="20"/>
  <c r="D268" i="20"/>
  <c r="C268" i="20"/>
  <c r="E260" i="20"/>
  <c r="C260" i="20"/>
  <c r="E244" i="20"/>
  <c r="D244" i="20"/>
  <c r="C244" i="20"/>
  <c r="E236" i="20"/>
  <c r="D236" i="20"/>
  <c r="C236" i="20"/>
  <c r="E228" i="20"/>
  <c r="C228" i="20"/>
  <c r="C220" i="20"/>
  <c r="E212" i="20"/>
  <c r="D212" i="20"/>
  <c r="C212" i="20"/>
  <c r="E204" i="20"/>
  <c r="D204" i="20"/>
  <c r="C204" i="20"/>
  <c r="E196" i="20"/>
  <c r="C196" i="20"/>
  <c r="C188" i="20"/>
  <c r="E180" i="20"/>
  <c r="D180" i="20"/>
  <c r="C180" i="20"/>
  <c r="E172" i="20"/>
  <c r="D172" i="20"/>
  <c r="C172" i="20"/>
  <c r="E164" i="20"/>
  <c r="C164" i="20"/>
  <c r="C156" i="20"/>
  <c r="E148" i="20"/>
  <c r="D148" i="20"/>
  <c r="C148" i="20"/>
  <c r="E135" i="20"/>
  <c r="C135" i="20"/>
  <c r="C128" i="20"/>
  <c r="E120" i="20"/>
  <c r="D120" i="20"/>
  <c r="C120" i="20"/>
  <c r="E112" i="20"/>
  <c r="D112" i="20"/>
  <c r="C112" i="20"/>
  <c r="E104" i="20"/>
  <c r="C104" i="20"/>
  <c r="C96" i="20"/>
  <c r="E81" i="20"/>
  <c r="D81" i="20"/>
  <c r="C81" i="20"/>
  <c r="E73" i="20"/>
  <c r="C73" i="20"/>
  <c r="C65" i="20"/>
  <c r="E57" i="20"/>
  <c r="D57" i="20"/>
  <c r="C57" i="20"/>
  <c r="E49" i="20"/>
  <c r="D49" i="20"/>
  <c r="C49" i="20"/>
  <c r="E41" i="20"/>
  <c r="C41" i="20"/>
  <c r="E26" i="20"/>
  <c r="D26" i="20"/>
  <c r="C26" i="20"/>
  <c r="E17" i="20"/>
  <c r="L17" i="20" s="1"/>
  <c r="D17" i="20"/>
  <c r="C17" i="20"/>
  <c r="E9" i="20"/>
  <c r="L9" i="20" s="1"/>
  <c r="C329" i="20"/>
  <c r="C306" i="20"/>
  <c r="C266" i="20"/>
  <c r="C243" i="20"/>
  <c r="C202" i="20"/>
  <c r="C179" i="20"/>
  <c r="C141" i="20"/>
  <c r="C119" i="20"/>
  <c r="C79" i="20"/>
  <c r="C15" i="20"/>
  <c r="D135" i="20"/>
  <c r="E156" i="20"/>
  <c r="D188" i="20"/>
  <c r="E216" i="20"/>
  <c r="D243" i="20"/>
  <c r="E272" i="20"/>
  <c r="E95" i="20"/>
  <c r="E88" i="20"/>
  <c r="E80" i="20"/>
  <c r="E72" i="20"/>
  <c r="E64" i="20"/>
  <c r="E56" i="20"/>
  <c r="E48" i="20"/>
  <c r="E40" i="20"/>
  <c r="E25" i="20"/>
  <c r="E16" i="20"/>
  <c r="E8" i="20"/>
  <c r="L8" i="20" s="1"/>
  <c r="C8" i="20"/>
  <c r="D32" i="20"/>
  <c r="D64" i="20"/>
  <c r="D95" i="20"/>
  <c r="C5" i="20"/>
  <c r="E13" i="20"/>
  <c r="E45" i="20"/>
  <c r="E77" i="20"/>
  <c r="E108" i="20"/>
  <c r="E139" i="20"/>
  <c r="E231" i="20"/>
  <c r="E223" i="20"/>
  <c r="E215" i="20"/>
  <c r="E207" i="20"/>
  <c r="E199" i="20"/>
  <c r="E191" i="20"/>
  <c r="E183" i="20"/>
  <c r="E175" i="20"/>
  <c r="E167" i="20"/>
  <c r="E159" i="20"/>
  <c r="E151" i="20"/>
  <c r="E143" i="20"/>
  <c r="E138" i="20"/>
  <c r="E131" i="20"/>
  <c r="E123" i="20"/>
  <c r="E115" i="20"/>
  <c r="E107" i="20"/>
  <c r="E99" i="20"/>
  <c r="E91" i="20"/>
  <c r="E84" i="20"/>
  <c r="E76" i="20"/>
  <c r="E68" i="20"/>
  <c r="E60" i="20"/>
  <c r="E52" i="20"/>
  <c r="E44" i="20"/>
  <c r="E36" i="20"/>
  <c r="E28" i="20"/>
  <c r="E20" i="20"/>
  <c r="L20" i="20" s="1"/>
  <c r="E12" i="20"/>
  <c r="C4" i="20"/>
  <c r="E4" i="20"/>
  <c r="L4" i="20" s="1"/>
  <c r="C160" i="20"/>
  <c r="C152" i="20"/>
  <c r="C144" i="20"/>
  <c r="C139" i="20"/>
  <c r="C132" i="20"/>
  <c r="C124" i="20"/>
  <c r="C116" i="20"/>
  <c r="C108" i="20"/>
  <c r="C100" i="20"/>
  <c r="C92" i="20"/>
  <c r="C85" i="20"/>
  <c r="C77" i="20"/>
  <c r="C69" i="20"/>
  <c r="C61" i="20"/>
  <c r="C53" i="20"/>
  <c r="C45" i="20"/>
  <c r="C37" i="20"/>
  <c r="C29" i="20"/>
  <c r="C21" i="20"/>
  <c r="C13" i="20"/>
  <c r="D5" i="20"/>
  <c r="D16" i="20"/>
  <c r="D37" i="20"/>
  <c r="D48" i="20"/>
  <c r="D69" i="20"/>
  <c r="D80" i="20"/>
  <c r="D100" i="20"/>
  <c r="D132" i="20"/>
  <c r="D160" i="20"/>
  <c r="E254" i="20"/>
  <c r="D254" i="20"/>
  <c r="E246" i="20"/>
  <c r="D246" i="20"/>
  <c r="E238" i="20"/>
  <c r="L238" i="20" s="1"/>
  <c r="D238" i="20"/>
  <c r="E230" i="20"/>
  <c r="D230" i="20"/>
  <c r="E222" i="20"/>
  <c r="D222" i="20"/>
  <c r="E214" i="20"/>
  <c r="D214" i="20"/>
  <c r="E206" i="20"/>
  <c r="D206" i="20"/>
  <c r="E198" i="20"/>
  <c r="D198" i="20"/>
  <c r="E190" i="20"/>
  <c r="D190" i="20"/>
  <c r="E182" i="20"/>
  <c r="D182" i="20"/>
  <c r="E174" i="20"/>
  <c r="D174" i="20"/>
  <c r="E166" i="20"/>
  <c r="D166" i="20"/>
  <c r="E158" i="20"/>
  <c r="D158" i="20"/>
  <c r="E150" i="20"/>
  <c r="D150" i="20"/>
  <c r="E142" i="20"/>
  <c r="D142" i="20"/>
  <c r="E137" i="20"/>
  <c r="D137" i="20"/>
  <c r="E130" i="20"/>
  <c r="D130" i="20"/>
  <c r="E122" i="20"/>
  <c r="D122" i="20"/>
  <c r="E114" i="20"/>
  <c r="D114" i="20"/>
  <c r="E106" i="20"/>
  <c r="D106" i="20"/>
  <c r="E98" i="20"/>
  <c r="D98" i="20"/>
  <c r="E90" i="20"/>
  <c r="D90" i="20"/>
  <c r="E83" i="20"/>
  <c r="D83" i="20"/>
  <c r="E75" i="20"/>
  <c r="D75" i="20"/>
  <c r="E67" i="20"/>
  <c r="D67" i="20"/>
  <c r="E59" i="20"/>
  <c r="D59" i="20"/>
  <c r="E51" i="20"/>
  <c r="D51" i="20"/>
  <c r="E43" i="20"/>
  <c r="D43" i="20"/>
  <c r="E35" i="20"/>
  <c r="L35" i="20" s="1"/>
  <c r="D35" i="20"/>
  <c r="E19" i="20"/>
  <c r="L19" i="20" s="1"/>
  <c r="D19" i="20"/>
  <c r="E11" i="20"/>
  <c r="L11" i="20" s="1"/>
  <c r="C239" i="20"/>
  <c r="C231" i="20"/>
  <c r="C223" i="20"/>
  <c r="C215" i="20"/>
  <c r="C207" i="20"/>
  <c r="C199" i="20"/>
  <c r="C191" i="20"/>
  <c r="C183" i="20"/>
  <c r="C175" i="20"/>
  <c r="C167" i="20"/>
  <c r="C159" i="20"/>
  <c r="C151" i="20"/>
  <c r="C143" i="20"/>
  <c r="C138" i="20"/>
  <c r="C131" i="20"/>
  <c r="C123" i="20"/>
  <c r="C115" i="20"/>
  <c r="C107" i="20"/>
  <c r="C99" i="20"/>
  <c r="C91" i="20"/>
  <c r="C84" i="20"/>
  <c r="C76" i="20"/>
  <c r="C68" i="20"/>
  <c r="C60" i="20"/>
  <c r="C52" i="20"/>
  <c r="C44" i="20"/>
  <c r="C36" i="20"/>
  <c r="C28" i="20"/>
  <c r="C20" i="20"/>
  <c r="C12" i="20"/>
  <c r="E5" i="20"/>
  <c r="L5" i="20" s="1"/>
  <c r="D28" i="20"/>
  <c r="E37" i="20"/>
  <c r="D60" i="20"/>
  <c r="E69" i="20"/>
  <c r="D91" i="20"/>
  <c r="E100" i="20"/>
  <c r="D123" i="20"/>
  <c r="E132" i="20"/>
  <c r="D151" i="20"/>
  <c r="E160" i="20"/>
  <c r="D183" i="20"/>
  <c r="D215" i="20"/>
  <c r="E285" i="20"/>
  <c r="D285" i="20"/>
  <c r="E277" i="20"/>
  <c r="D277" i="20"/>
  <c r="E269" i="20"/>
  <c r="D269" i="20"/>
  <c r="E261" i="20"/>
  <c r="D261" i="20"/>
  <c r="E253" i="20"/>
  <c r="D253" i="20"/>
  <c r="E245" i="20"/>
  <c r="D245" i="20"/>
  <c r="E237" i="20"/>
  <c r="D237" i="20"/>
  <c r="E229" i="20"/>
  <c r="D229" i="20"/>
  <c r="E221" i="20"/>
  <c r="D221" i="20"/>
  <c r="E213" i="20"/>
  <c r="D213" i="20"/>
  <c r="E205" i="20"/>
  <c r="D205" i="20"/>
  <c r="E197" i="20"/>
  <c r="D197" i="20"/>
  <c r="E189" i="20"/>
  <c r="D189" i="20"/>
  <c r="E181" i="20"/>
  <c r="D181" i="20"/>
  <c r="E173" i="20"/>
  <c r="D173" i="20"/>
  <c r="E165" i="20"/>
  <c r="D165" i="20"/>
  <c r="E157" i="20"/>
  <c r="D157" i="20"/>
  <c r="E149" i="20"/>
  <c r="D149" i="20"/>
  <c r="E136" i="20"/>
  <c r="D136" i="20"/>
  <c r="E129" i="20"/>
  <c r="D129" i="20"/>
  <c r="E121" i="20"/>
  <c r="D121" i="20"/>
  <c r="E113" i="20"/>
  <c r="D113" i="20"/>
  <c r="E105" i="20"/>
  <c r="D105" i="20"/>
  <c r="E97" i="20"/>
  <c r="D97" i="20"/>
  <c r="E89" i="20"/>
  <c r="D89" i="20"/>
  <c r="E82" i="20"/>
  <c r="D82" i="20"/>
  <c r="E74" i="20"/>
  <c r="D74" i="20"/>
  <c r="E66" i="20"/>
  <c r="D66" i="20"/>
  <c r="E58" i="20"/>
  <c r="D58" i="20"/>
  <c r="E50" i="20"/>
  <c r="D50" i="20"/>
  <c r="E42" i="20"/>
  <c r="E34" i="20"/>
  <c r="L34" i="20" s="1"/>
  <c r="D34" i="20"/>
  <c r="E27" i="20"/>
  <c r="D27" i="20"/>
  <c r="E18" i="20"/>
  <c r="L18" i="20" s="1"/>
  <c r="D18" i="20"/>
  <c r="C10" i="20"/>
  <c r="E10" i="20"/>
  <c r="L10" i="20" s="1"/>
  <c r="D10" i="20"/>
  <c r="C254" i="20"/>
  <c r="C246" i="20"/>
  <c r="C238" i="20"/>
  <c r="C230" i="20"/>
  <c r="C222" i="20"/>
  <c r="C214" i="20"/>
  <c r="C206" i="20"/>
  <c r="C198" i="20"/>
  <c r="C190" i="20"/>
  <c r="C182" i="20"/>
  <c r="C174" i="20"/>
  <c r="C166" i="20"/>
  <c r="C158" i="20"/>
  <c r="C150" i="20"/>
  <c r="C142" i="20"/>
  <c r="C137" i="20"/>
  <c r="C130" i="20"/>
  <c r="C122" i="20"/>
  <c r="C114" i="20"/>
  <c r="C106" i="20"/>
  <c r="C98" i="20"/>
  <c r="C90" i="20"/>
  <c r="C83" i="20"/>
  <c r="C75" i="20"/>
  <c r="C67" i="20"/>
  <c r="C59" i="20"/>
  <c r="C51" i="20"/>
  <c r="C43" i="20"/>
  <c r="C35" i="20"/>
  <c r="C19" i="20"/>
  <c r="C11" i="20"/>
  <c r="D8" i="20"/>
  <c r="D29" i="20"/>
  <c r="D40" i="20"/>
  <c r="D61" i="20"/>
  <c r="D72" i="20"/>
  <c r="D92" i="20"/>
  <c r="D124" i="20"/>
  <c r="D152" i="20"/>
  <c r="G316" i="20" l="1"/>
  <c r="I324" i="20"/>
  <c r="J313" i="20"/>
  <c r="H316" i="20"/>
  <c r="I318" i="20"/>
  <c r="I316" i="20"/>
  <c r="I321" i="20"/>
  <c r="G325" i="20"/>
  <c r="H325" i="20"/>
  <c r="G319" i="20"/>
  <c r="H321" i="20"/>
  <c r="J331" i="20"/>
  <c r="H331" i="20"/>
  <c r="J325" i="20"/>
  <c r="J320" i="20"/>
  <c r="G323" i="20"/>
  <c r="J323" i="20"/>
  <c r="I317" i="20"/>
  <c r="J319" i="20"/>
  <c r="H313" i="20"/>
  <c r="H328" i="20"/>
  <c r="J316" i="20"/>
  <c r="G310" i="20"/>
  <c r="I327" i="20"/>
  <c r="I312" i="20"/>
  <c r="I329" i="20"/>
  <c r="H319" i="20"/>
  <c r="J329" i="20"/>
  <c r="I328" i="20"/>
  <c r="H332" i="20"/>
  <c r="G326" i="20"/>
  <c r="I333" i="20"/>
  <c r="G320" i="20"/>
  <c r="J327" i="20"/>
  <c r="G329" i="20"/>
  <c r="J328" i="20"/>
  <c r="I332" i="20"/>
  <c r="G314" i="20"/>
  <c r="G331" i="20"/>
  <c r="G328" i="20"/>
  <c r="H327" i="20"/>
  <c r="H329" i="20"/>
  <c r="H326" i="20"/>
  <c r="J332" i="20"/>
  <c r="I315" i="20"/>
  <c r="I331" i="20"/>
  <c r="G332" i="20"/>
  <c r="J326" i="20"/>
  <c r="I319" i="20"/>
  <c r="J317" i="20"/>
  <c r="H310" i="20"/>
  <c r="H317" i="20"/>
  <c r="G324" i="20"/>
  <c r="F33" i="13"/>
  <c r="F55" i="13"/>
  <c r="F32" i="13"/>
  <c r="F54" i="13"/>
  <c r="F31" i="13"/>
  <c r="F53" i="13"/>
  <c r="F30" i="13"/>
  <c r="F52" i="13"/>
  <c r="F29" i="13"/>
  <c r="F51" i="13"/>
  <c r="F27" i="13"/>
  <c r="F50" i="13"/>
  <c r="F26" i="13"/>
  <c r="F48" i="13"/>
  <c r="F25" i="13"/>
  <c r="F47" i="13"/>
  <c r="F24" i="13"/>
  <c r="F46" i="13"/>
  <c r="F23" i="13"/>
  <c r="F45" i="13"/>
  <c r="F21" i="13"/>
  <c r="F44" i="13"/>
  <c r="F20" i="13"/>
  <c r="F43" i="13"/>
  <c r="F42" i="13"/>
  <c r="F41" i="13"/>
  <c r="F39" i="13"/>
  <c r="F38" i="13"/>
  <c r="F37" i="13"/>
  <c r="F36" i="13"/>
  <c r="F35" i="13"/>
  <c r="J310" i="20"/>
  <c r="G333" i="20"/>
  <c r="H324" i="20"/>
  <c r="G317" i="20"/>
  <c r="I325" i="20"/>
  <c r="H314" i="20"/>
  <c r="J333" i="20"/>
  <c r="J324" i="20"/>
  <c r="J314" i="20"/>
  <c r="H333" i="20"/>
  <c r="H322" i="20"/>
  <c r="H318" i="20"/>
  <c r="I322" i="20"/>
  <c r="J322" i="20"/>
  <c r="G315" i="20"/>
  <c r="J318" i="20"/>
  <c r="I326" i="20"/>
  <c r="H330" i="20"/>
  <c r="J315" i="20"/>
  <c r="G312" i="20"/>
  <c r="I330" i="20"/>
  <c r="H315" i="20"/>
  <c r="G313" i="20"/>
  <c r="G330" i="20"/>
  <c r="I320" i="20"/>
  <c r="G311" i="20"/>
  <c r="I311" i="20"/>
  <c r="H312" i="20"/>
  <c r="G321" i="20"/>
  <c r="J330" i="20"/>
  <c r="J311" i="20"/>
  <c r="J312" i="20"/>
  <c r="J321" i="20"/>
  <c r="H323" i="20"/>
  <c r="I135" i="20"/>
  <c r="I120" i="20"/>
  <c r="I200" i="20"/>
  <c r="G224" i="20"/>
  <c r="I194" i="20"/>
  <c r="I38" i="20"/>
  <c r="G124" i="20"/>
  <c r="I181" i="20"/>
  <c r="I184" i="20"/>
  <c r="G25" i="20"/>
  <c r="I114" i="20"/>
  <c r="G51" i="20"/>
  <c r="I171" i="20"/>
  <c r="I60" i="20"/>
  <c r="G172" i="20"/>
  <c r="G71" i="20"/>
  <c r="I119" i="20"/>
  <c r="G15" i="20"/>
  <c r="I137" i="20"/>
  <c r="I58" i="20"/>
  <c r="I182" i="20"/>
  <c r="I215" i="20"/>
  <c r="G53" i="20"/>
  <c r="G176" i="20"/>
  <c r="I193" i="20"/>
  <c r="G90" i="20"/>
  <c r="I202" i="20"/>
  <c r="I203" i="20"/>
  <c r="G29" i="20"/>
  <c r="G96" i="20"/>
  <c r="I152" i="20"/>
  <c r="G57" i="20"/>
  <c r="I198" i="20"/>
  <c r="I216" i="20"/>
  <c r="G21" i="20"/>
  <c r="I62" i="20"/>
  <c r="I209" i="20"/>
  <c r="G186" i="20"/>
  <c r="I64" i="20"/>
  <c r="G55" i="20"/>
  <c r="I190" i="20"/>
  <c r="I96" i="20"/>
  <c r="I192" i="20"/>
  <c r="I208" i="20"/>
  <c r="I224" i="20"/>
  <c r="I122" i="20"/>
  <c r="I154" i="20"/>
  <c r="I186" i="20"/>
  <c r="I218" i="20"/>
  <c r="G61" i="20"/>
  <c r="I118" i="20"/>
  <c r="I206" i="20"/>
  <c r="G27" i="20"/>
  <c r="G59" i="20"/>
  <c r="I124" i="20"/>
  <c r="I212" i="20"/>
  <c r="I132" i="20"/>
  <c r="I204" i="20"/>
  <c r="I125" i="20"/>
  <c r="I22" i="20"/>
  <c r="I197" i="20"/>
  <c r="I187" i="20"/>
  <c r="I219" i="20"/>
  <c r="G22" i="20"/>
  <c r="I55" i="20"/>
  <c r="G119" i="20"/>
  <c r="G135" i="20"/>
  <c r="G151" i="20"/>
  <c r="G199" i="20"/>
  <c r="G215" i="20"/>
  <c r="G12" i="20"/>
  <c r="G181" i="20"/>
  <c r="I15" i="20"/>
  <c r="G64" i="20"/>
  <c r="I25" i="20"/>
  <c r="I57" i="20"/>
  <c r="G97" i="20"/>
  <c r="G137" i="20"/>
  <c r="G217" i="20"/>
  <c r="G58" i="20"/>
  <c r="I13" i="20"/>
  <c r="I59" i="20"/>
  <c r="G123" i="20"/>
  <c r="G155" i="20"/>
  <c r="G187" i="20"/>
  <c r="G203" i="20"/>
  <c r="G219" i="20"/>
  <c r="G28" i="20"/>
  <c r="G221" i="20"/>
  <c r="G60" i="20"/>
  <c r="G165" i="20"/>
  <c r="G62" i="20"/>
  <c r="G31" i="20"/>
  <c r="G63" i="20"/>
  <c r="I153" i="20"/>
  <c r="I205" i="20"/>
  <c r="G152" i="20"/>
  <c r="G184" i="20"/>
  <c r="G216" i="20"/>
  <c r="I121" i="20"/>
  <c r="I177" i="20"/>
  <c r="I201" i="20"/>
  <c r="G78" i="20"/>
  <c r="G182" i="20"/>
  <c r="G164" i="20"/>
  <c r="I189" i="20"/>
  <c r="G94" i="20"/>
  <c r="G222" i="20"/>
  <c r="G220" i="20"/>
  <c r="I14" i="20"/>
  <c r="I79" i="20"/>
  <c r="I175" i="20"/>
  <c r="I191" i="20"/>
  <c r="I207" i="20"/>
  <c r="I223" i="20"/>
  <c r="I56" i="20"/>
  <c r="I115" i="20"/>
  <c r="I195" i="20"/>
  <c r="I211" i="20"/>
  <c r="I227" i="20"/>
  <c r="I36" i="20"/>
  <c r="I52" i="20"/>
  <c r="I20" i="20"/>
  <c r="I133" i="20"/>
  <c r="I213" i="20"/>
  <c r="I188" i="20"/>
  <c r="I220" i="20"/>
  <c r="I214" i="20"/>
  <c r="G65" i="20"/>
  <c r="I178" i="20"/>
  <c r="I210" i="20"/>
  <c r="I226" i="20"/>
  <c r="I78" i="20"/>
  <c r="I134" i="20"/>
  <c r="I196" i="20"/>
  <c r="G14" i="20"/>
  <c r="I63" i="20"/>
  <c r="G79" i="20"/>
  <c r="G127" i="20"/>
  <c r="G159" i="20"/>
  <c r="G175" i="20"/>
  <c r="G191" i="20"/>
  <c r="G207" i="20"/>
  <c r="G223" i="20"/>
  <c r="G89" i="20"/>
  <c r="G153" i="20"/>
  <c r="G225" i="20"/>
  <c r="I29" i="20"/>
  <c r="G56" i="20"/>
  <c r="I65" i="20"/>
  <c r="G177" i="20"/>
  <c r="G50" i="20"/>
  <c r="G173" i="20"/>
  <c r="I21" i="20"/>
  <c r="I51" i="20"/>
  <c r="G115" i="20"/>
  <c r="G179" i="20"/>
  <c r="G195" i="20"/>
  <c r="G211" i="20"/>
  <c r="G227" i="20"/>
  <c r="G20" i="20"/>
  <c r="G117" i="20"/>
  <c r="G30" i="20"/>
  <c r="O10" i="20"/>
  <c r="O5" i="20"/>
  <c r="O7" i="20"/>
  <c r="O4" i="20"/>
  <c r="O8" i="20"/>
  <c r="O6" i="20"/>
  <c r="O9" i="20"/>
  <c r="O11" i="20"/>
  <c r="P11" i="3"/>
  <c r="P19" i="3"/>
  <c r="P27" i="3"/>
  <c r="P35" i="3"/>
  <c r="P28" i="3"/>
  <c r="P36" i="3"/>
  <c r="P13" i="3"/>
  <c r="P21" i="3"/>
  <c r="P6" i="3"/>
  <c r="P30" i="3"/>
  <c r="P38" i="3"/>
  <c r="P23" i="3"/>
  <c r="P31" i="3"/>
  <c r="P8" i="3"/>
  <c r="P24" i="3"/>
  <c r="P17" i="3"/>
  <c r="P25" i="3"/>
  <c r="P18" i="3"/>
  <c r="P26" i="3"/>
  <c r="P12" i="3"/>
  <c r="P20" i="3"/>
  <c r="P5" i="3"/>
  <c r="P29" i="3"/>
  <c r="P37" i="3"/>
  <c r="P14" i="3"/>
  <c r="P22" i="3"/>
  <c r="P7" i="3"/>
  <c r="P15" i="3"/>
  <c r="P4" i="3"/>
  <c r="P16" i="3"/>
  <c r="P32" i="3"/>
  <c r="P9" i="3"/>
  <c r="P33" i="3"/>
  <c r="P10" i="3"/>
  <c r="P34" i="3"/>
  <c r="M237" i="20"/>
  <c r="Q237" i="20" s="1"/>
  <c r="S237" i="20" s="1"/>
  <c r="K237" i="20"/>
  <c r="F237" i="20"/>
  <c r="F294" i="20"/>
  <c r="L294" i="20" s="1"/>
  <c r="F281" i="20"/>
  <c r="L281" i="20" s="1"/>
  <c r="F292" i="20"/>
  <c r="F238" i="20"/>
  <c r="F284" i="20"/>
  <c r="F276" i="20"/>
  <c r="L276" i="20" s="1"/>
  <c r="F266" i="20"/>
  <c r="L266" i="20" s="1"/>
  <c r="F257" i="20"/>
  <c r="L257" i="20" s="1"/>
  <c r="F270" i="20"/>
  <c r="L270" i="20" s="1"/>
  <c r="F252" i="20"/>
  <c r="L252" i="20" s="1"/>
  <c r="F274" i="20"/>
  <c r="L274" i="20" s="1"/>
  <c r="F259" i="20"/>
  <c r="L259" i="20" s="1"/>
  <c r="F262" i="20"/>
  <c r="L262" i="20" s="1"/>
  <c r="F255" i="20"/>
  <c r="L255" i="20" s="1"/>
  <c r="F273" i="20"/>
  <c r="L273" i="20" s="1"/>
  <c r="F243" i="20"/>
  <c r="L243" i="20" s="1"/>
  <c r="F249" i="20"/>
  <c r="L249" i="20" s="1"/>
  <c r="F289" i="20"/>
  <c r="F244" i="20"/>
  <c r="L244" i="20" s="1"/>
  <c r="F268" i="20"/>
  <c r="L268" i="20" s="1"/>
  <c r="F288" i="20"/>
  <c r="F286" i="20"/>
  <c r="F260" i="20"/>
  <c r="L260" i="20" s="1"/>
  <c r="F279" i="20"/>
  <c r="F264" i="20"/>
  <c r="L264" i="20" s="1"/>
  <c r="F247" i="20"/>
  <c r="F242" i="20"/>
  <c r="L242" i="20" s="1"/>
  <c r="F239" i="20"/>
  <c r="F278" i="20"/>
  <c r="L278" i="20" s="1"/>
  <c r="F263" i="20"/>
  <c r="L263" i="20" s="1"/>
  <c r="F287" i="20"/>
  <c r="F267" i="20"/>
  <c r="L267" i="20" s="1"/>
  <c r="F271" i="20"/>
  <c r="L271" i="20" s="1"/>
  <c r="F253" i="20"/>
  <c r="L253" i="20" s="1"/>
  <c r="F250" i="20"/>
  <c r="L250" i="20" s="1"/>
  <c r="F285" i="20"/>
  <c r="F240" i="20"/>
  <c r="F293" i="20"/>
  <c r="F246" i="20"/>
  <c r="L246" i="20" s="1"/>
  <c r="F241" i="20"/>
  <c r="F245" i="20"/>
  <c r="L245" i="20" s="1"/>
  <c r="F248" i="20"/>
  <c r="L248" i="20" s="1"/>
  <c r="F295" i="20"/>
  <c r="L295" i="20" s="1"/>
  <c r="F277" i="20"/>
  <c r="L277" i="20" s="1"/>
  <c r="F280" i="20"/>
  <c r="L280" i="20" s="1"/>
  <c r="F282" i="20"/>
  <c r="F290" i="20"/>
  <c r="F258" i="20"/>
  <c r="L258" i="20" s="1"/>
  <c r="F251" i="20"/>
  <c r="L251" i="20" s="1"/>
  <c r="F261" i="20"/>
  <c r="L261" i="20" s="1"/>
  <c r="F256" i="20"/>
  <c r="L256" i="20" s="1"/>
  <c r="F254" i="20"/>
  <c r="L254" i="20" s="1"/>
  <c r="F269" i="20"/>
  <c r="F272" i="20"/>
  <c r="L272" i="20" s="1"/>
  <c r="F265" i="20"/>
  <c r="L265" i="20" s="1"/>
  <c r="F283" i="20"/>
  <c r="F275" i="20"/>
  <c r="L275" i="20" s="1"/>
  <c r="F291" i="20"/>
  <c r="F297" i="20"/>
  <c r="F301" i="20"/>
  <c r="L301" i="20" s="1"/>
  <c r="F302" i="20"/>
  <c r="F296" i="20"/>
  <c r="F298" i="20"/>
  <c r="L298" i="20" s="1"/>
  <c r="F300" i="20"/>
  <c r="L300" i="20" s="1"/>
  <c r="F299" i="20"/>
  <c r="F16" i="20"/>
  <c r="M214" i="20"/>
  <c r="Q214" i="20" s="1"/>
  <c r="F105" i="20"/>
  <c r="F110" i="20"/>
  <c r="F168" i="20"/>
  <c r="F90" i="20"/>
  <c r="F77" i="20"/>
  <c r="F160" i="20"/>
  <c r="F155" i="20"/>
  <c r="F136" i="20"/>
  <c r="F149" i="20"/>
  <c r="F236" i="20"/>
  <c r="F312" i="20"/>
  <c r="F324" i="20"/>
  <c r="F332" i="20"/>
  <c r="F318" i="20"/>
  <c r="F49" i="20"/>
  <c r="F40" i="20"/>
  <c r="F43" i="20"/>
  <c r="F146" i="20"/>
  <c r="F139" i="20"/>
  <c r="F235" i="20"/>
  <c r="F231" i="20"/>
  <c r="F323" i="20"/>
  <c r="M99" i="20"/>
  <c r="Q99" i="20" s="1"/>
  <c r="M140" i="20"/>
  <c r="Q140" i="20" s="1"/>
  <c r="K227" i="25"/>
  <c r="M114" i="20"/>
  <c r="Q114" i="20" s="1"/>
  <c r="F101" i="20"/>
  <c r="F107" i="20"/>
  <c r="F102" i="20"/>
  <c r="F108" i="20"/>
  <c r="F94" i="20"/>
  <c r="F85" i="20"/>
  <c r="F112" i="20"/>
  <c r="F113" i="20"/>
  <c r="F157" i="20"/>
  <c r="F234" i="20"/>
  <c r="F307" i="20"/>
  <c r="F311" i="20"/>
  <c r="F315" i="20"/>
  <c r="F309" i="20"/>
  <c r="F47" i="20"/>
  <c r="F76" i="20"/>
  <c r="F42" i="20"/>
  <c r="F227" i="20"/>
  <c r="F317" i="20"/>
  <c r="M75" i="20"/>
  <c r="Q75" i="20" s="1"/>
  <c r="M77" i="20"/>
  <c r="Q77" i="20" s="1"/>
  <c r="M68" i="20"/>
  <c r="Q68" i="20" s="1"/>
  <c r="M108" i="20"/>
  <c r="Q108" i="20" s="1"/>
  <c r="M144" i="20"/>
  <c r="Q144" i="20" s="1"/>
  <c r="M153" i="20"/>
  <c r="Q153" i="20" s="1"/>
  <c r="M72" i="20"/>
  <c r="Q72" i="20" s="1"/>
  <c r="M165" i="20"/>
  <c r="Q165" i="20" s="1"/>
  <c r="F166" i="20"/>
  <c r="F313" i="20"/>
  <c r="F44" i="20"/>
  <c r="F46" i="20"/>
  <c r="F330" i="20"/>
  <c r="F308" i="20"/>
  <c r="M19" i="20"/>
  <c r="Q19" i="20" s="1"/>
  <c r="M122" i="20"/>
  <c r="Q122" i="20" s="1"/>
  <c r="M231" i="20"/>
  <c r="Q231" i="20" s="1"/>
  <c r="M45" i="20"/>
  <c r="Q45" i="20" s="1"/>
  <c r="M208" i="20"/>
  <c r="Q208" i="20" s="1"/>
  <c r="M78" i="20"/>
  <c r="Q78" i="20" s="1"/>
  <c r="F98" i="20"/>
  <c r="F140" i="20"/>
  <c r="F310" i="20"/>
  <c r="K174" i="25"/>
  <c r="K244" i="25"/>
  <c r="K147" i="25"/>
  <c r="K221" i="25"/>
  <c r="K176" i="25"/>
  <c r="K246" i="25"/>
  <c r="K131" i="25"/>
  <c r="K204" i="25"/>
  <c r="K186" i="25"/>
  <c r="K257" i="25"/>
  <c r="K181" i="25"/>
  <c r="K258" i="25"/>
  <c r="K235" i="25"/>
  <c r="K182" i="25"/>
  <c r="K253" i="25"/>
  <c r="K156" i="25"/>
  <c r="K229" i="25"/>
  <c r="K184" i="25"/>
  <c r="K255" i="25"/>
  <c r="K140" i="25"/>
  <c r="K214" i="25"/>
  <c r="K196" i="25"/>
  <c r="K208" i="25"/>
  <c r="K259" i="25"/>
  <c r="K218" i="25"/>
  <c r="K179" i="25"/>
  <c r="K191" i="25"/>
  <c r="K126" i="25"/>
  <c r="K166" i="25"/>
  <c r="K237" i="25"/>
  <c r="K194" i="25"/>
  <c r="K149" i="25"/>
  <c r="K223" i="25"/>
  <c r="K132" i="25"/>
  <c r="K205" i="25"/>
  <c r="K233" i="25"/>
  <c r="K241" i="25"/>
  <c r="K152" i="25"/>
  <c r="K143" i="25"/>
  <c r="K127" i="25"/>
  <c r="K201" i="25"/>
  <c r="K175" i="25"/>
  <c r="K245" i="25"/>
  <c r="K129" i="25"/>
  <c r="K203" i="25"/>
  <c r="K158" i="25"/>
  <c r="K231" i="25"/>
  <c r="K141" i="25"/>
  <c r="K215" i="25"/>
  <c r="K252" i="25"/>
  <c r="K136" i="25"/>
  <c r="L126" i="25"/>
  <c r="K137" i="25"/>
  <c r="K210" i="25"/>
  <c r="K183" i="25"/>
  <c r="K254" i="25"/>
  <c r="K139" i="25"/>
  <c r="K213" i="25"/>
  <c r="K168" i="25"/>
  <c r="K239" i="25"/>
  <c r="K151" i="25"/>
  <c r="K224" i="25"/>
  <c r="K162" i="25"/>
  <c r="K225" i="25"/>
  <c r="K190" i="25"/>
  <c r="K171" i="25"/>
  <c r="K146" i="25"/>
  <c r="K220" i="25"/>
  <c r="K193" i="25"/>
  <c r="K148" i="25"/>
  <c r="K222" i="25"/>
  <c r="K177" i="25"/>
  <c r="K248" i="25"/>
  <c r="K159" i="25"/>
  <c r="K232" i="25"/>
  <c r="K134" i="25"/>
  <c r="K187" i="25"/>
  <c r="K163" i="25"/>
  <c r="K243" i="25"/>
  <c r="K197" i="25"/>
  <c r="K155" i="25"/>
  <c r="K228" i="25"/>
  <c r="K128" i="25"/>
  <c r="K202" i="25"/>
  <c r="K157" i="25"/>
  <c r="K230" i="25"/>
  <c r="K185" i="25"/>
  <c r="K256" i="25"/>
  <c r="K169" i="25"/>
  <c r="K240" i="25"/>
  <c r="K133" i="25"/>
  <c r="K209" i="25"/>
  <c r="K188" i="25"/>
  <c r="K219" i="25"/>
  <c r="K138" i="25"/>
  <c r="F22" i="14"/>
  <c r="K251" i="25"/>
  <c r="M332" i="20"/>
  <c r="Q332" i="20" s="1"/>
  <c r="M316" i="20"/>
  <c r="Q316" i="20" s="1"/>
  <c r="M330" i="20"/>
  <c r="Q330" i="20" s="1"/>
  <c r="M314" i="20"/>
  <c r="Q314" i="20" s="1"/>
  <c r="M320" i="20"/>
  <c r="Q320" i="20" s="1"/>
  <c r="M303" i="20"/>
  <c r="Q303" i="20" s="1"/>
  <c r="M121" i="20"/>
  <c r="Q121" i="20" s="1"/>
  <c r="M229" i="20"/>
  <c r="Q229" i="20" s="1"/>
  <c r="M196" i="20"/>
  <c r="Q196" i="20" s="1"/>
  <c r="M128" i="20"/>
  <c r="Q128" i="20" s="1"/>
  <c r="M97" i="20"/>
  <c r="Q97" i="20" s="1"/>
  <c r="M66" i="20"/>
  <c r="Q66" i="20" s="1"/>
  <c r="M204" i="20"/>
  <c r="Q204" i="20" s="1"/>
  <c r="M195" i="20"/>
  <c r="Q195" i="20" s="1"/>
  <c r="M212" i="20"/>
  <c r="Q212" i="20" s="1"/>
  <c r="M65" i="20"/>
  <c r="Q65" i="20" s="1"/>
  <c r="M95" i="20"/>
  <c r="Q95" i="20" s="1"/>
  <c r="K211" i="25"/>
  <c r="K178" i="25"/>
  <c r="M325" i="20"/>
  <c r="Q325" i="20" s="1"/>
  <c r="M331" i="20"/>
  <c r="Q331" i="20" s="1"/>
  <c r="M315" i="20"/>
  <c r="Q315" i="20" s="1"/>
  <c r="M310" i="20"/>
  <c r="Q310" i="20" s="1"/>
  <c r="M184" i="20"/>
  <c r="Q184" i="20" s="1"/>
  <c r="M197" i="20"/>
  <c r="Q197" i="20" s="1"/>
  <c r="M189" i="20"/>
  <c r="Q189" i="20" s="1"/>
  <c r="M120" i="20"/>
  <c r="Q120" i="20" s="1"/>
  <c r="M227" i="20"/>
  <c r="Q227" i="20" s="1"/>
  <c r="M147" i="20"/>
  <c r="Q147" i="20" s="1"/>
  <c r="M119" i="20"/>
  <c r="Q119" i="20" s="1"/>
  <c r="M129" i="20"/>
  <c r="Q129" i="20" s="1"/>
  <c r="M112" i="20"/>
  <c r="Q112" i="20" s="1"/>
  <c r="M203" i="20"/>
  <c r="Q203" i="20" s="1"/>
  <c r="M127" i="20"/>
  <c r="Q127" i="20" s="1"/>
  <c r="K165" i="25"/>
  <c r="K249" i="25"/>
  <c r="K216" i="25"/>
  <c r="K144" i="25"/>
  <c r="M329" i="20"/>
  <c r="Q329" i="20" s="1"/>
  <c r="M313" i="20"/>
  <c r="Q313" i="20" s="1"/>
  <c r="M326" i="20"/>
  <c r="Q326" i="20" s="1"/>
  <c r="M319" i="20"/>
  <c r="Q319" i="20" s="1"/>
  <c r="M58" i="20"/>
  <c r="Q58" i="20" s="1"/>
  <c r="M27" i="20"/>
  <c r="Q27" i="20" s="1"/>
  <c r="M216" i="20"/>
  <c r="Q216" i="20" s="1"/>
  <c r="M26" i="20"/>
  <c r="Q26" i="20" s="1"/>
  <c r="M235" i="20"/>
  <c r="Q235" i="20" s="1"/>
  <c r="M25" i="20"/>
  <c r="Q25" i="20" s="1"/>
  <c r="M170" i="20"/>
  <c r="Q170" i="20" s="1"/>
  <c r="M110" i="20"/>
  <c r="Q110" i="20" s="1"/>
  <c r="M71" i="20"/>
  <c r="Q71" i="20" s="1"/>
  <c r="K236" i="25"/>
  <c r="K167" i="25"/>
  <c r="K161" i="25"/>
  <c r="K198" i="25"/>
  <c r="K242" i="25"/>
  <c r="K153" i="25"/>
  <c r="K24" i="20"/>
  <c r="M308" i="20"/>
  <c r="Q308" i="20" s="1"/>
  <c r="M306" i="20"/>
  <c r="Q306" i="20" s="1"/>
  <c r="M312" i="20"/>
  <c r="Q312" i="20" s="1"/>
  <c r="M136" i="20"/>
  <c r="Q136" i="20" s="1"/>
  <c r="M172" i="20"/>
  <c r="Q172" i="20" s="1"/>
  <c r="M211" i="20"/>
  <c r="Q211" i="20" s="1"/>
  <c r="M179" i="20"/>
  <c r="Q179" i="20" s="1"/>
  <c r="M32" i="20"/>
  <c r="Q32" i="20" s="1"/>
  <c r="M181" i="20"/>
  <c r="Q181" i="20" s="1"/>
  <c r="M180" i="20"/>
  <c r="Q180" i="20" s="1"/>
  <c r="M155" i="20"/>
  <c r="Q155" i="20" s="1"/>
  <c r="M111" i="20"/>
  <c r="Q111" i="20" s="1"/>
  <c r="M88" i="20"/>
  <c r="Q88" i="20" s="1"/>
  <c r="M56" i="20"/>
  <c r="Q56" i="20" s="1"/>
  <c r="M226" i="20"/>
  <c r="Q226" i="20" s="1"/>
  <c r="M186" i="20"/>
  <c r="Q186" i="20" s="1"/>
  <c r="M146" i="20"/>
  <c r="Q146" i="20" s="1"/>
  <c r="M87" i="20"/>
  <c r="Q87" i="20" s="1"/>
  <c r="K238" i="25"/>
  <c r="K200" i="25"/>
  <c r="K154" i="25"/>
  <c r="M317" i="20"/>
  <c r="Q317" i="20" s="1"/>
  <c r="M324" i="20"/>
  <c r="Q324" i="20" s="1"/>
  <c r="M322" i="20"/>
  <c r="Q322" i="20" s="1"/>
  <c r="M105" i="20"/>
  <c r="Q105" i="20" s="1"/>
  <c r="M205" i="20"/>
  <c r="Q205" i="20" s="1"/>
  <c r="M236" i="20"/>
  <c r="Q236" i="20" s="1"/>
  <c r="M156" i="20"/>
  <c r="Q156" i="20" s="1"/>
  <c r="M81" i="20"/>
  <c r="Q81" i="20" s="1"/>
  <c r="M113" i="20"/>
  <c r="Q113" i="20" s="1"/>
  <c r="M74" i="20"/>
  <c r="Q74" i="20" s="1"/>
  <c r="M50" i="20"/>
  <c r="Q50" i="20" s="1"/>
  <c r="K226" i="25"/>
  <c r="K180" i="25"/>
  <c r="M24" i="20"/>
  <c r="Q24" i="20" s="1"/>
  <c r="M323" i="20"/>
  <c r="Q323" i="20" s="1"/>
  <c r="M307" i="20"/>
  <c r="Q307" i="20" s="1"/>
  <c r="M328" i="20"/>
  <c r="Q328" i="20" s="1"/>
  <c r="M318" i="20"/>
  <c r="Q318" i="20" s="1"/>
  <c r="M149" i="20"/>
  <c r="Q149" i="20" s="1"/>
  <c r="M176" i="20"/>
  <c r="Q176" i="20" s="1"/>
  <c r="M221" i="20"/>
  <c r="Q221" i="20" s="1"/>
  <c r="M173" i="20"/>
  <c r="Q173" i="20" s="1"/>
  <c r="M228" i="20"/>
  <c r="Q228" i="20" s="1"/>
  <c r="M103" i="20"/>
  <c r="Q103" i="20" s="1"/>
  <c r="M96" i="20"/>
  <c r="Q96" i="20" s="1"/>
  <c r="M187" i="20"/>
  <c r="Q187" i="20" s="1"/>
  <c r="K195" i="25"/>
  <c r="K234" i="25"/>
  <c r="K172" i="25"/>
  <c r="K250" i="25"/>
  <c r="K206" i="25"/>
  <c r="M333" i="20"/>
  <c r="Q333" i="20" s="1"/>
  <c r="M321" i="20"/>
  <c r="Q321" i="20" s="1"/>
  <c r="M305" i="20"/>
  <c r="Q305" i="20" s="1"/>
  <c r="M304" i="20"/>
  <c r="Q304" i="20" s="1"/>
  <c r="M311" i="20"/>
  <c r="Q311" i="20" s="1"/>
  <c r="M224" i="20"/>
  <c r="Q224" i="20" s="1"/>
  <c r="M42" i="20"/>
  <c r="Q42" i="20" s="1"/>
  <c r="M89" i="20"/>
  <c r="Q89" i="20" s="1"/>
  <c r="M48" i="20"/>
  <c r="Q48" i="20" s="1"/>
  <c r="M157" i="20"/>
  <c r="Q157" i="20" s="1"/>
  <c r="M148" i="20"/>
  <c r="Q148" i="20" s="1"/>
  <c r="M218" i="20"/>
  <c r="Q218" i="20" s="1"/>
  <c r="M178" i="20"/>
  <c r="Q178" i="20" s="1"/>
  <c r="M141" i="20"/>
  <c r="Q141" i="20" s="1"/>
  <c r="M79" i="20"/>
  <c r="Q79" i="20" s="1"/>
  <c r="M213" i="20"/>
  <c r="Q213" i="20" s="1"/>
  <c r="M194" i="20"/>
  <c r="Q194" i="20" s="1"/>
  <c r="M102" i="20"/>
  <c r="Q102" i="20" s="1"/>
  <c r="M104" i="20"/>
  <c r="Q104" i="20" s="1"/>
  <c r="M193" i="20"/>
  <c r="Q193" i="20" s="1"/>
  <c r="M133" i="20"/>
  <c r="Q133" i="20" s="1"/>
  <c r="M70" i="20"/>
  <c r="Q70" i="20" s="1"/>
  <c r="M200" i="20"/>
  <c r="Q200" i="20" s="1"/>
  <c r="M13" i="20"/>
  <c r="Q13" i="20" s="1"/>
  <c r="M29" i="20"/>
  <c r="Q29" i="20" s="1"/>
  <c r="M223" i="20"/>
  <c r="Q223" i="20" s="1"/>
  <c r="M138" i="20"/>
  <c r="Q138" i="20" s="1"/>
  <c r="M91" i="20"/>
  <c r="Q91" i="20" s="1"/>
  <c r="M190" i="20"/>
  <c r="Q190" i="20" s="1"/>
  <c r="M130" i="20"/>
  <c r="Q130" i="20" s="1"/>
  <c r="M67" i="20"/>
  <c r="Q67" i="20" s="1"/>
  <c r="M20" i="20"/>
  <c r="Q20" i="20" s="1"/>
  <c r="M309" i="20"/>
  <c r="Q309" i="20" s="1"/>
  <c r="M82" i="20"/>
  <c r="Q82" i="20" s="1"/>
  <c r="M162" i="20"/>
  <c r="Q162" i="20" s="1"/>
  <c r="M134" i="20"/>
  <c r="Q134" i="20" s="1"/>
  <c r="M47" i="20"/>
  <c r="Q47" i="20" s="1"/>
  <c r="M220" i="20"/>
  <c r="Q220" i="20" s="1"/>
  <c r="M164" i="20"/>
  <c r="Q164" i="20" s="1"/>
  <c r="M233" i="20"/>
  <c r="Q233" i="20" s="1"/>
  <c r="M169" i="20"/>
  <c r="Q169" i="20" s="1"/>
  <c r="M109" i="20"/>
  <c r="Q109" i="20" s="1"/>
  <c r="M46" i="20"/>
  <c r="Q46" i="20" s="1"/>
  <c r="M22" i="20"/>
  <c r="Q22" i="20" s="1"/>
  <c r="M69" i="20"/>
  <c r="Q69" i="20" s="1"/>
  <c r="M61" i="20"/>
  <c r="Q61" i="20" s="1"/>
  <c r="M167" i="20"/>
  <c r="Q167" i="20" s="1"/>
  <c r="M115" i="20"/>
  <c r="Q115" i="20" s="1"/>
  <c r="M52" i="20"/>
  <c r="Q52" i="20" s="1"/>
  <c r="M207" i="20"/>
  <c r="Q207" i="20" s="1"/>
  <c r="M107" i="20"/>
  <c r="Q107" i="20" s="1"/>
  <c r="M230" i="20"/>
  <c r="Q230" i="20" s="1"/>
  <c r="M166" i="20"/>
  <c r="Q166" i="20" s="1"/>
  <c r="M106" i="20"/>
  <c r="Q106" i="20" s="1"/>
  <c r="M43" i="20"/>
  <c r="Q43" i="20" s="1"/>
  <c r="M33" i="20"/>
  <c r="Q33" i="20" s="1"/>
  <c r="M80" i="20"/>
  <c r="Q80" i="20" s="1"/>
  <c r="M40" i="20"/>
  <c r="Q40" i="20" s="1"/>
  <c r="M126" i="20"/>
  <c r="Q126" i="20" s="1"/>
  <c r="M94" i="20"/>
  <c r="Q94" i="20" s="1"/>
  <c r="M23" i="20"/>
  <c r="Q23" i="20" s="1"/>
  <c r="M209" i="20"/>
  <c r="Q209" i="20" s="1"/>
  <c r="M145" i="20"/>
  <c r="Q145" i="20" s="1"/>
  <c r="M86" i="20"/>
  <c r="Q86" i="20" s="1"/>
  <c r="M100" i="20"/>
  <c r="Q100" i="20" s="1"/>
  <c r="M192" i="20"/>
  <c r="Q192" i="20" s="1"/>
  <c r="M152" i="20"/>
  <c r="Q152" i="20" s="1"/>
  <c r="M159" i="20"/>
  <c r="Q159" i="20" s="1"/>
  <c r="M206" i="20"/>
  <c r="Q206" i="20" s="1"/>
  <c r="M142" i="20"/>
  <c r="Q142" i="20" s="1"/>
  <c r="M83" i="20"/>
  <c r="Q83" i="20" s="1"/>
  <c r="M16" i="20"/>
  <c r="Q16" i="20" s="1"/>
  <c r="M57" i="20"/>
  <c r="Q57" i="20" s="1"/>
  <c r="M219" i="20"/>
  <c r="Q219" i="20" s="1"/>
  <c r="M154" i="20"/>
  <c r="Q154" i="20" s="1"/>
  <c r="M63" i="20"/>
  <c r="Q63" i="20" s="1"/>
  <c r="M73" i="20"/>
  <c r="Q73" i="20" s="1"/>
  <c r="M185" i="20"/>
  <c r="Q185" i="20" s="1"/>
  <c r="M125" i="20"/>
  <c r="Q125" i="20" s="1"/>
  <c r="M62" i="20"/>
  <c r="Q62" i="20" s="1"/>
  <c r="M160" i="20"/>
  <c r="Q160" i="20" s="1"/>
  <c r="M139" i="20"/>
  <c r="Q139" i="20" s="1"/>
  <c r="M116" i="20"/>
  <c r="Q116" i="20" s="1"/>
  <c r="M37" i="20"/>
  <c r="Q37" i="20" s="1"/>
  <c r="M199" i="20"/>
  <c r="Q199" i="20" s="1"/>
  <c r="M64" i="20"/>
  <c r="Q64" i="20" s="1"/>
  <c r="M34" i="20"/>
  <c r="Q34" i="20" s="1"/>
  <c r="M118" i="20"/>
  <c r="Q118" i="20" s="1"/>
  <c r="M39" i="20"/>
  <c r="Q39" i="20" s="1"/>
  <c r="M135" i="20"/>
  <c r="Q135" i="20" s="1"/>
  <c r="M225" i="20"/>
  <c r="Q225" i="20" s="1"/>
  <c r="M161" i="20"/>
  <c r="Q161" i="20" s="1"/>
  <c r="M101" i="20"/>
  <c r="Q101" i="20" s="1"/>
  <c r="M38" i="20"/>
  <c r="Q38" i="20" s="1"/>
  <c r="M151" i="20"/>
  <c r="Q151" i="20" s="1"/>
  <c r="M84" i="20"/>
  <c r="Q84" i="20" s="1"/>
  <c r="M44" i="20"/>
  <c r="Q44" i="20" s="1"/>
  <c r="M92" i="20"/>
  <c r="Q92" i="20" s="1"/>
  <c r="M191" i="20"/>
  <c r="Q191" i="20" s="1"/>
  <c r="M222" i="20"/>
  <c r="Q222" i="20" s="1"/>
  <c r="M158" i="20"/>
  <c r="Q158" i="20" s="1"/>
  <c r="M98" i="20"/>
  <c r="Q98" i="20" s="1"/>
  <c r="M35" i="20"/>
  <c r="Q35" i="20" s="1"/>
  <c r="M18" i="20"/>
  <c r="Q18" i="20" s="1"/>
  <c r="M202" i="20"/>
  <c r="Q202" i="20" s="1"/>
  <c r="M55" i="20"/>
  <c r="Q55" i="20" s="1"/>
  <c r="M49" i="20"/>
  <c r="Q49" i="20" s="1"/>
  <c r="M177" i="20"/>
  <c r="Q177" i="20" s="1"/>
  <c r="M117" i="20"/>
  <c r="Q117" i="20" s="1"/>
  <c r="M54" i="20"/>
  <c r="Q54" i="20" s="1"/>
  <c r="M85" i="20"/>
  <c r="Q85" i="20" s="1"/>
  <c r="M168" i="20"/>
  <c r="Q168" i="20" s="1"/>
  <c r="M183" i="20"/>
  <c r="Q183" i="20" s="1"/>
  <c r="M123" i="20"/>
  <c r="Q123" i="20" s="1"/>
  <c r="M60" i="20"/>
  <c r="Q60" i="20" s="1"/>
  <c r="M12" i="20"/>
  <c r="Q12" i="20" s="1"/>
  <c r="M21" i="20"/>
  <c r="Q21" i="20" s="1"/>
  <c r="M215" i="20"/>
  <c r="Q215" i="20" s="1"/>
  <c r="M174" i="20"/>
  <c r="Q174" i="20" s="1"/>
  <c r="F165" i="20"/>
  <c r="F103" i="20"/>
  <c r="F100" i="20"/>
  <c r="F148" i="20"/>
  <c r="F184" i="20"/>
  <c r="F233" i="20"/>
  <c r="F329" i="20"/>
  <c r="F327" i="20"/>
  <c r="F82" i="20"/>
  <c r="F66" i="20"/>
  <c r="F68" i="20"/>
  <c r="F142" i="20"/>
  <c r="F80" i="20"/>
  <c r="M17" i="20"/>
  <c r="Q17" i="20" s="1"/>
  <c r="M90" i="20"/>
  <c r="Q90" i="20" s="1"/>
  <c r="M143" i="20"/>
  <c r="Q143" i="20" s="1"/>
  <c r="M28" i="20"/>
  <c r="Q28" i="20" s="1"/>
  <c r="M76" i="20"/>
  <c r="Q76" i="20" s="1"/>
  <c r="M93" i="20"/>
  <c r="Q93" i="20" s="1"/>
  <c r="M210" i="20"/>
  <c r="Q210" i="20" s="1"/>
  <c r="F162" i="20"/>
  <c r="F173" i="20"/>
  <c r="F116" i="20"/>
  <c r="F138" i="20"/>
  <c r="F167" i="20"/>
  <c r="F19" i="20"/>
  <c r="F143" i="20"/>
  <c r="F319" i="20"/>
  <c r="F305" i="20"/>
  <c r="F331" i="20"/>
  <c r="F33" i="20"/>
  <c r="F32" i="20"/>
  <c r="F48" i="20"/>
  <c r="F74" i="20"/>
  <c r="F17" i="20"/>
  <c r="F88" i="20"/>
  <c r="M51" i="20"/>
  <c r="Q51" i="20" s="1"/>
  <c r="M182" i="20"/>
  <c r="Q182" i="20" s="1"/>
  <c r="M36" i="20"/>
  <c r="Q36" i="20" s="1"/>
  <c r="M14" i="20"/>
  <c r="Q14" i="20" s="1"/>
  <c r="M31" i="20"/>
  <c r="Q31" i="20" s="1"/>
  <c r="M234" i="20"/>
  <c r="Q234" i="20" s="1"/>
  <c r="M41" i="20"/>
  <c r="Q41" i="20" s="1"/>
  <c r="F75" i="20"/>
  <c r="F229" i="20"/>
  <c r="F99" i="20"/>
  <c r="F86" i="20"/>
  <c r="F92" i="20"/>
  <c r="F84" i="20"/>
  <c r="F147" i="20"/>
  <c r="F303" i="20"/>
  <c r="F321" i="20"/>
  <c r="F333" i="20"/>
  <c r="F306" i="20"/>
  <c r="F322" i="20"/>
  <c r="F37" i="20"/>
  <c r="F72" i="20"/>
  <c r="F18" i="20"/>
  <c r="M137" i="20"/>
  <c r="Q137" i="20" s="1"/>
  <c r="M175" i="20"/>
  <c r="Q175" i="20" s="1"/>
  <c r="M131" i="20"/>
  <c r="Q131" i="20" s="1"/>
  <c r="M124" i="20"/>
  <c r="Q124" i="20" s="1"/>
  <c r="M232" i="20"/>
  <c r="Q232" i="20" s="1"/>
  <c r="M30" i="20"/>
  <c r="Q30" i="20" s="1"/>
  <c r="F106" i="20"/>
  <c r="F23" i="20"/>
  <c r="F26" i="20"/>
  <c r="F169" i="20"/>
  <c r="F54" i="20"/>
  <c r="F83" i="20"/>
  <c r="F69" i="20"/>
  <c r="F141" i="20"/>
  <c r="F67" i="20"/>
  <c r="F145" i="20"/>
  <c r="F228" i="20"/>
  <c r="F320" i="20"/>
  <c r="F328" i="20"/>
  <c r="F326" i="20"/>
  <c r="F41" i="20"/>
  <c r="F35" i="20"/>
  <c r="F159" i="20"/>
  <c r="F304" i="20"/>
  <c r="F144" i="20"/>
  <c r="M15" i="20"/>
  <c r="Q15" i="20" s="1"/>
  <c r="M59" i="20"/>
  <c r="Q59" i="20" s="1"/>
  <c r="M198" i="20"/>
  <c r="Q198" i="20" s="1"/>
  <c r="M132" i="20"/>
  <c r="Q132" i="20" s="1"/>
  <c r="M201" i="20"/>
  <c r="Q201" i="20" s="1"/>
  <c r="M171" i="20"/>
  <c r="Q171" i="20" s="1"/>
  <c r="M327" i="20"/>
  <c r="Q327" i="20" s="1"/>
  <c r="F109" i="20"/>
  <c r="F161" i="20"/>
  <c r="F111" i="20"/>
  <c r="F104" i="20"/>
  <c r="F87" i="20"/>
  <c r="F81" i="20"/>
  <c r="F91" i="20"/>
  <c r="F73" i="20"/>
  <c r="F156" i="20"/>
  <c r="F182" i="20"/>
  <c r="F230" i="20"/>
  <c r="F232" i="20"/>
  <c r="F325" i="20"/>
  <c r="F314" i="20"/>
  <c r="F45" i="20"/>
  <c r="F39" i="20"/>
  <c r="F70" i="20"/>
  <c r="F316" i="20"/>
  <c r="F34" i="20"/>
  <c r="M150" i="20"/>
  <c r="Q150" i="20" s="1"/>
  <c r="M53" i="20"/>
  <c r="Q53" i="20" s="1"/>
  <c r="M217" i="20"/>
  <c r="Q217" i="20" s="1"/>
  <c r="M188" i="20"/>
  <c r="Q188" i="20" s="1"/>
  <c r="M163" i="20"/>
  <c r="Q163" i="20" s="1"/>
  <c r="F130" i="20"/>
  <c r="F132" i="20"/>
  <c r="F131" i="20"/>
  <c r="F129" i="20"/>
  <c r="F127" i="20"/>
  <c r="F14" i="20"/>
  <c r="F174" i="20"/>
  <c r="F51" i="20"/>
  <c r="F93" i="20"/>
  <c r="F177" i="20"/>
  <c r="F59" i="20"/>
  <c r="F218" i="20"/>
  <c r="F55" i="20"/>
  <c r="F196" i="20"/>
  <c r="F199" i="20"/>
  <c r="F135" i="20"/>
  <c r="F214" i="20"/>
  <c r="F202" i="20"/>
  <c r="F21" i="20"/>
  <c r="F28" i="20"/>
  <c r="F13" i="20"/>
  <c r="F12" i="20"/>
  <c r="F170" i="20"/>
  <c r="F175" i="20"/>
  <c r="F25" i="20"/>
  <c r="F126" i="20"/>
  <c r="F78" i="20"/>
  <c r="F71" i="20"/>
  <c r="F150" i="20"/>
  <c r="F63" i="20"/>
  <c r="F201" i="20"/>
  <c r="F225" i="20"/>
  <c r="F200" i="20"/>
  <c r="F203" i="20"/>
  <c r="F22" i="20"/>
  <c r="F15" i="20"/>
  <c r="F31" i="20"/>
  <c r="F52" i="20"/>
  <c r="F89" i="20"/>
  <c r="F95" i="20"/>
  <c r="F121" i="20"/>
  <c r="F133" i="20"/>
  <c r="F153" i="20"/>
  <c r="F222" i="20"/>
  <c r="F58" i="20"/>
  <c r="F204" i="20"/>
  <c r="F61" i="20"/>
  <c r="F207" i="20"/>
  <c r="F137" i="20"/>
  <c r="F198" i="20"/>
  <c r="F20" i="20"/>
  <c r="F97" i="20"/>
  <c r="F171" i="20"/>
  <c r="F164" i="20"/>
  <c r="F27" i="20"/>
  <c r="F114" i="20"/>
  <c r="F117" i="20"/>
  <c r="F180" i="20"/>
  <c r="F179" i="20"/>
  <c r="F154" i="20"/>
  <c r="F189" i="20"/>
  <c r="F205" i="20"/>
  <c r="F208" i="20"/>
  <c r="F215" i="20"/>
  <c r="F216" i="20"/>
  <c r="F211" i="20"/>
  <c r="F57" i="20"/>
  <c r="F186" i="20"/>
  <c r="F206" i="20"/>
  <c r="F30" i="20"/>
  <c r="F120" i="20"/>
  <c r="F125" i="20"/>
  <c r="F178" i="20"/>
  <c r="F181" i="20"/>
  <c r="F226" i="20"/>
  <c r="F62" i="20"/>
  <c r="F212" i="20"/>
  <c r="F219" i="20"/>
  <c r="F220" i="20"/>
  <c r="F210" i="20"/>
  <c r="F24" i="20"/>
  <c r="F118" i="20"/>
  <c r="F134" i="20"/>
  <c r="F124" i="20"/>
  <c r="F176" i="20"/>
  <c r="F185" i="20"/>
  <c r="F158" i="20"/>
  <c r="F193" i="20"/>
  <c r="F209" i="20"/>
  <c r="F217" i="20"/>
  <c r="F223" i="20"/>
  <c r="F224" i="20"/>
  <c r="F187" i="20"/>
  <c r="F38" i="20"/>
  <c r="F29" i="20"/>
  <c r="F53" i="20"/>
  <c r="F96" i="20"/>
  <c r="F79" i="20"/>
  <c r="F128" i="20"/>
  <c r="F119" i="20"/>
  <c r="F65" i="20"/>
  <c r="F64" i="20"/>
  <c r="F188" i="20"/>
  <c r="F191" i="20"/>
  <c r="F183" i="20"/>
  <c r="F190" i="20"/>
  <c r="F163" i="20"/>
  <c r="F172" i="20"/>
  <c r="F50" i="20"/>
  <c r="F122" i="20"/>
  <c r="F115" i="20"/>
  <c r="F123" i="20"/>
  <c r="F152" i="20"/>
  <c r="F151" i="20"/>
  <c r="F56" i="20"/>
  <c r="F197" i="20"/>
  <c r="F213" i="20"/>
  <c r="F221" i="20"/>
  <c r="F192" i="20"/>
  <c r="F195" i="20"/>
  <c r="F60" i="20"/>
  <c r="F36" i="20"/>
  <c r="F194" i="20"/>
  <c r="N260" i="20"/>
  <c r="T260" i="20" s="1"/>
  <c r="V260" i="20" s="1"/>
  <c r="L287" i="20" l="1"/>
  <c r="L290" i="20"/>
  <c r="L269" i="20"/>
  <c r="L282" i="20"/>
  <c r="L247" i="20"/>
  <c r="L299" i="20"/>
  <c r="L284" i="20"/>
  <c r="L279" i="20"/>
  <c r="L292" i="20"/>
  <c r="L296" i="20"/>
  <c r="L286" i="20"/>
  <c r="L302" i="20"/>
  <c r="L288" i="20"/>
  <c r="L297" i="20"/>
  <c r="L291" i="20"/>
  <c r="L293" i="20"/>
  <c r="L289" i="20"/>
  <c r="L283" i="20"/>
  <c r="L285" i="20"/>
  <c r="O239" i="20"/>
  <c r="O240" i="20"/>
  <c r="O260" i="20"/>
  <c r="P260" i="20" s="1"/>
  <c r="O241" i="20"/>
  <c r="O238" i="20"/>
  <c r="O304" i="20"/>
  <c r="O303" i="20"/>
  <c r="O237" i="20"/>
  <c r="O35" i="20"/>
  <c r="P35" i="20" s="1"/>
  <c r="O34" i="20"/>
  <c r="P34" i="20" s="1"/>
  <c r="O33" i="20"/>
  <c r="P33" i="20" s="1"/>
  <c r="O32" i="20"/>
  <c r="P32" i="20" s="1"/>
  <c r="O140" i="20"/>
  <c r="O139" i="20"/>
  <c r="O138" i="20"/>
  <c r="O135" i="20"/>
  <c r="O147" i="20"/>
  <c r="O146" i="20"/>
  <c r="O145" i="20"/>
  <c r="O144" i="20"/>
  <c r="O143" i="20"/>
  <c r="L113" i="20"/>
  <c r="L13" i="20"/>
  <c r="L224" i="20"/>
  <c r="L87" i="20"/>
  <c r="L16" i="20"/>
  <c r="L236" i="20"/>
  <c r="L15" i="20"/>
  <c r="L36" i="20"/>
  <c r="L88" i="20"/>
  <c r="L235" i="20"/>
  <c r="L40" i="20"/>
  <c r="L318" i="20"/>
  <c r="L308" i="20"/>
  <c r="L157" i="20"/>
  <c r="L77" i="20"/>
  <c r="L43" i="20"/>
  <c r="L310" i="20"/>
  <c r="L76" i="20"/>
  <c r="L46" i="20"/>
  <c r="L234" i="20"/>
  <c r="L313" i="20"/>
  <c r="L85" i="20"/>
  <c r="L140" i="20"/>
  <c r="L141" i="20"/>
  <c r="L150" i="20"/>
  <c r="L91" i="20"/>
  <c r="L135" i="20"/>
  <c r="L138" i="20"/>
  <c r="L142" i="20"/>
  <c r="L148" i="20"/>
  <c r="L139" i="20"/>
  <c r="L143" i="20"/>
  <c r="L146" i="20"/>
  <c r="L149" i="20"/>
  <c r="L137" i="20"/>
  <c r="L94" i="20"/>
  <c r="L144" i="20"/>
  <c r="L147" i="20"/>
  <c r="L145" i="20"/>
  <c r="L47" i="20"/>
  <c r="L44" i="20"/>
  <c r="L323" i="20"/>
  <c r="L92" i="20"/>
  <c r="L107" i="20"/>
  <c r="L169" i="20"/>
  <c r="L74" i="20"/>
  <c r="L324" i="20"/>
  <c r="L106" i="20"/>
  <c r="L311" i="20"/>
  <c r="L31" i="20"/>
  <c r="L84" i="20"/>
  <c r="L196" i="20"/>
  <c r="L230" i="20"/>
  <c r="L175" i="20"/>
  <c r="L193" i="20"/>
  <c r="L170" i="20"/>
  <c r="L51" i="20"/>
  <c r="L54" i="20"/>
  <c r="L65" i="20"/>
  <c r="L53" i="20"/>
  <c r="L59" i="20"/>
  <c r="L152" i="20"/>
  <c r="L103" i="20"/>
  <c r="L167" i="20"/>
  <c r="L220" i="20"/>
  <c r="L307" i="20"/>
  <c r="L66" i="20"/>
  <c r="L332" i="20"/>
  <c r="L156" i="20"/>
  <c r="L180" i="20"/>
  <c r="L171" i="20"/>
  <c r="L136" i="20"/>
  <c r="L71" i="20"/>
  <c r="L108" i="20"/>
  <c r="L109" i="20"/>
  <c r="L200" i="20"/>
  <c r="L124" i="20"/>
  <c r="L72" i="20"/>
  <c r="L114" i="20"/>
  <c r="L28" i="20"/>
  <c r="L189" i="20"/>
  <c r="L61" i="20"/>
  <c r="L228" i="20"/>
  <c r="L321" i="20"/>
  <c r="L112" i="20"/>
  <c r="L62" i="20"/>
  <c r="L322" i="20"/>
  <c r="L64" i="20"/>
  <c r="L172" i="20"/>
  <c r="L181" i="20"/>
  <c r="L227" i="20"/>
  <c r="L184" i="20"/>
  <c r="L197" i="20"/>
  <c r="L214" i="20"/>
  <c r="L117" i="20"/>
  <c r="L188" i="20"/>
  <c r="L118" i="20"/>
  <c r="L122" i="20"/>
  <c r="L191" i="20"/>
  <c r="L104" i="20"/>
  <c r="L212" i="20"/>
  <c r="L232" i="20"/>
  <c r="L78" i="20"/>
  <c r="L222" i="20"/>
  <c r="L38" i="20"/>
  <c r="L100" i="20"/>
  <c r="L52" i="20"/>
  <c r="L209" i="20"/>
  <c r="L163" i="20"/>
  <c r="L306" i="20"/>
  <c r="L41" i="20"/>
  <c r="L173" i="20"/>
  <c r="L328" i="20"/>
  <c r="L155" i="20"/>
  <c r="L50" i="20"/>
  <c r="L205" i="20"/>
  <c r="L67" i="20"/>
  <c r="L198" i="20"/>
  <c r="L130" i="20"/>
  <c r="L133" i="20"/>
  <c r="L187" i="20"/>
  <c r="L178" i="20"/>
  <c r="L68" i="20"/>
  <c r="L225" i="20"/>
  <c r="L195" i="20"/>
  <c r="L218" i="20"/>
  <c r="L206" i="20"/>
  <c r="L213" i="20"/>
  <c r="L309" i="20"/>
  <c r="L89" i="20"/>
  <c r="L25" i="20"/>
  <c r="L221" i="20"/>
  <c r="L315" i="20"/>
  <c r="L203" i="20"/>
  <c r="L314" i="20"/>
  <c r="L120" i="20"/>
  <c r="L327" i="20"/>
  <c r="L168" i="20"/>
  <c r="L237" i="20"/>
  <c r="L30" i="20"/>
  <c r="L90" i="20"/>
  <c r="L110" i="20"/>
  <c r="L123" i="20"/>
  <c r="L190" i="20"/>
  <c r="L174" i="20"/>
  <c r="L45" i="20"/>
  <c r="L177" i="20"/>
  <c r="L55" i="20"/>
  <c r="L210" i="20"/>
  <c r="L98" i="20"/>
  <c r="L73" i="20"/>
  <c r="L186" i="20"/>
  <c r="L182" i="20"/>
  <c r="L29" i="20"/>
  <c r="L125" i="20"/>
  <c r="L56" i="20"/>
  <c r="L115" i="20"/>
  <c r="L86" i="20"/>
  <c r="L128" i="20"/>
  <c r="L57" i="20"/>
  <c r="L82" i="20"/>
  <c r="L102" i="20"/>
  <c r="L202" i="20"/>
  <c r="L119" i="20"/>
  <c r="L317" i="20"/>
  <c r="L326" i="20"/>
  <c r="L330" i="20"/>
  <c r="L48" i="20"/>
  <c r="L60" i="20"/>
  <c r="L151" i="20"/>
  <c r="L179" i="20"/>
  <c r="L134" i="20"/>
  <c r="L208" i="20"/>
  <c r="L132" i="20"/>
  <c r="L79" i="20"/>
  <c r="L231" i="20"/>
  <c r="L131" i="20"/>
  <c r="L116" i="20"/>
  <c r="L101" i="20"/>
  <c r="L83" i="20"/>
  <c r="L69" i="20"/>
  <c r="L164" i="20"/>
  <c r="L229" i="20"/>
  <c r="L320" i="20"/>
  <c r="L316" i="20"/>
  <c r="L176" i="20"/>
  <c r="L81" i="20"/>
  <c r="L216" i="20"/>
  <c r="L312" i="20"/>
  <c r="L127" i="20"/>
  <c r="L80" i="20"/>
  <c r="L27" i="20"/>
  <c r="L194" i="20"/>
  <c r="L166" i="20"/>
  <c r="L233" i="20"/>
  <c r="L217" i="20"/>
  <c r="L93" i="20"/>
  <c r="L14" i="20"/>
  <c r="L129" i="20"/>
  <c r="L158" i="20"/>
  <c r="L199" i="20"/>
  <c r="L160" i="20"/>
  <c r="L39" i="20"/>
  <c r="L95" i="20"/>
  <c r="L192" i="20"/>
  <c r="L185" i="20"/>
  <c r="L63" i="20"/>
  <c r="L204" i="20"/>
  <c r="L207" i="20"/>
  <c r="L111" i="20"/>
  <c r="L325" i="20"/>
  <c r="L154" i="20"/>
  <c r="L97" i="20"/>
  <c r="L42" i="20"/>
  <c r="L333" i="20"/>
  <c r="L162" i="20"/>
  <c r="L319" i="20"/>
  <c r="L331" i="20"/>
  <c r="L24" i="20"/>
  <c r="L26" i="20"/>
  <c r="L49" i="20"/>
  <c r="L183" i="20"/>
  <c r="L75" i="20"/>
  <c r="L215" i="20"/>
  <c r="L226" i="20"/>
  <c r="L105" i="20"/>
  <c r="L58" i="20"/>
  <c r="L223" i="20"/>
  <c r="L70" i="20"/>
  <c r="L99" i="20"/>
  <c r="L37" i="20"/>
  <c r="L201" i="20"/>
  <c r="L161" i="20"/>
  <c r="L96" i="20"/>
  <c r="L159" i="20"/>
  <c r="L219" i="20"/>
  <c r="L121" i="20"/>
  <c r="L165" i="20"/>
  <c r="L211" i="20"/>
  <c r="L305" i="20"/>
  <c r="L126" i="20"/>
  <c r="L329" i="20"/>
  <c r="L153" i="20"/>
  <c r="L12" i="20"/>
  <c r="N237" i="20"/>
  <c r="T237" i="20" s="1"/>
  <c r="V237" i="20" s="1"/>
  <c r="C19" i="21"/>
  <c r="N12" i="20"/>
  <c r="T12" i="20" s="1"/>
  <c r="O24" i="20"/>
  <c r="Q335" i="20"/>
  <c r="H26" i="21" s="1"/>
  <c r="H27" i="21" s="1"/>
  <c r="H28" i="21" s="1"/>
  <c r="H29" i="21" s="1"/>
  <c r="H30" i="21" s="1"/>
  <c r="H31" i="21" s="1"/>
  <c r="N24" i="20"/>
  <c r="P7" i="20"/>
  <c r="P11" i="20"/>
  <c r="P5" i="20"/>
  <c r="P6" i="20"/>
  <c r="P10" i="20"/>
  <c r="P9" i="20"/>
  <c r="P4" i="20"/>
  <c r="P8" i="20"/>
  <c r="P237" i="20" l="1"/>
  <c r="P24" i="20"/>
  <c r="H32" i="21"/>
  <c r="S24" i="20"/>
  <c r="T24" i="20"/>
  <c r="V24" i="20" s="1"/>
  <c r="D20" i="14"/>
  <c r="B372" i="16"/>
  <c r="B371" i="16"/>
  <c r="B370" i="16"/>
  <c r="B369" i="16"/>
  <c r="B368" i="16"/>
  <c r="B367" i="16"/>
  <c r="B365" i="16"/>
  <c r="B364" i="16"/>
  <c r="B363" i="16"/>
  <c r="B362" i="16"/>
  <c r="B361" i="16"/>
  <c r="B360" i="16"/>
  <c r="B359" i="16"/>
  <c r="B358" i="16"/>
  <c r="B356" i="16"/>
  <c r="B355" i="16"/>
  <c r="B354" i="16"/>
  <c r="B353" i="16"/>
  <c r="B352" i="16"/>
  <c r="B350" i="16"/>
  <c r="B349" i="16"/>
  <c r="B348" i="16"/>
  <c r="B347" i="16"/>
  <c r="B346" i="16"/>
  <c r="B344" i="16"/>
  <c r="B343" i="16"/>
  <c r="B342" i="16"/>
  <c r="B341" i="16"/>
  <c r="B340" i="16"/>
  <c r="B338" i="16"/>
  <c r="B337" i="16"/>
  <c r="B335" i="16"/>
  <c r="B334" i="16"/>
  <c r="B333" i="16"/>
  <c r="B332" i="16"/>
  <c r="B331" i="16"/>
  <c r="B330" i="16"/>
  <c r="B329" i="16"/>
  <c r="B328" i="16"/>
  <c r="B326" i="16"/>
  <c r="B325" i="16"/>
  <c r="B324" i="16"/>
  <c r="B323" i="16"/>
  <c r="B322" i="16"/>
  <c r="B321" i="16"/>
  <c r="B320" i="16"/>
  <c r="B319" i="16"/>
  <c r="B318" i="16"/>
  <c r="B317" i="16"/>
  <c r="B316" i="16"/>
  <c r="B315" i="16"/>
  <c r="B314" i="16"/>
  <c r="B313" i="16"/>
  <c r="B312" i="16"/>
  <c r="B310" i="16"/>
  <c r="B309" i="16"/>
  <c r="B308" i="16"/>
  <c r="B307" i="16"/>
  <c r="B306" i="16"/>
  <c r="B304" i="16"/>
  <c r="B303" i="16"/>
  <c r="B302" i="16"/>
  <c r="B301" i="16"/>
  <c r="B300" i="16"/>
  <c r="B299" i="16"/>
  <c r="B298" i="16"/>
  <c r="B297" i="16"/>
  <c r="B296" i="16"/>
  <c r="B295" i="16"/>
  <c r="B294" i="16"/>
  <c r="B293" i="16"/>
  <c r="B292" i="16"/>
  <c r="B290" i="16"/>
  <c r="B289" i="16"/>
  <c r="B288" i="16"/>
  <c r="B287" i="16"/>
  <c r="B286" i="16"/>
  <c r="B285" i="16"/>
  <c r="B284" i="16"/>
  <c r="B283" i="16"/>
  <c r="B281" i="16"/>
  <c r="B280" i="16"/>
  <c r="B278" i="16"/>
  <c r="B277" i="16"/>
  <c r="B275" i="16"/>
  <c r="B274" i="16"/>
  <c r="B273" i="16"/>
  <c r="B271" i="16"/>
  <c r="B270" i="16"/>
  <c r="B269" i="16"/>
  <c r="B268" i="16"/>
  <c r="B266" i="16"/>
  <c r="B265" i="16"/>
  <c r="B264" i="16"/>
  <c r="B263" i="16"/>
  <c r="B262" i="16"/>
  <c r="B260" i="16"/>
  <c r="B259" i="16"/>
  <c r="B258" i="16"/>
  <c r="B257" i="16"/>
  <c r="B256" i="16"/>
  <c r="B255" i="16"/>
  <c r="B254" i="16"/>
  <c r="B253" i="16"/>
  <c r="B252" i="16"/>
  <c r="B251" i="16"/>
  <c r="B249" i="16"/>
  <c r="B248" i="16"/>
  <c r="B247" i="16"/>
  <c r="B246" i="16"/>
  <c r="B245" i="16"/>
  <c r="B244" i="16"/>
  <c r="B243" i="16"/>
  <c r="B242" i="16"/>
  <c r="B241" i="16"/>
  <c r="B240" i="16"/>
  <c r="B239" i="16"/>
  <c r="B238" i="16"/>
  <c r="B236" i="16"/>
  <c r="B235" i="16"/>
  <c r="B234" i="16"/>
  <c r="B233" i="16"/>
  <c r="B232" i="16"/>
  <c r="B231" i="16"/>
  <c r="B230" i="16"/>
  <c r="B229" i="16"/>
  <c r="B228" i="16"/>
  <c r="B227" i="16"/>
  <c r="B226" i="16"/>
  <c r="B225" i="16"/>
  <c r="B224" i="16"/>
  <c r="B223" i="16"/>
  <c r="B222" i="16"/>
  <c r="B221" i="16"/>
  <c r="B220" i="16"/>
  <c r="B219" i="16"/>
  <c r="B218" i="16"/>
  <c r="B217" i="16"/>
  <c r="B216" i="16"/>
  <c r="B215" i="16"/>
  <c r="B214" i="16"/>
  <c r="B213" i="16"/>
  <c r="B212" i="16"/>
  <c r="B211" i="16"/>
  <c r="B210" i="16"/>
  <c r="B209" i="16"/>
  <c r="B208" i="16"/>
  <c r="B206" i="16"/>
  <c r="B205" i="16"/>
  <c r="B204" i="16"/>
  <c r="B203" i="16"/>
  <c r="B202" i="16"/>
  <c r="B201" i="16"/>
  <c r="B199" i="16"/>
  <c r="B198" i="16"/>
  <c r="B197" i="16"/>
  <c r="B196" i="16"/>
  <c r="B194" i="16"/>
  <c r="B193" i="16"/>
  <c r="B192" i="16"/>
  <c r="B191" i="16"/>
  <c r="B190" i="16"/>
  <c r="B189" i="16"/>
  <c r="B188" i="16"/>
  <c r="B187" i="16"/>
  <c r="B186" i="16"/>
  <c r="B185" i="16"/>
  <c r="B184" i="16"/>
  <c r="B183" i="16"/>
  <c r="B182" i="16"/>
  <c r="B181" i="16"/>
  <c r="B180" i="16"/>
  <c r="B178" i="16"/>
  <c r="B177" i="16"/>
  <c r="B176" i="16"/>
  <c r="B175" i="16"/>
  <c r="B174" i="16"/>
  <c r="B173" i="16"/>
  <c r="B172" i="16"/>
  <c r="B171" i="16"/>
  <c r="B170" i="16"/>
  <c r="B169" i="16"/>
  <c r="B168" i="16"/>
  <c r="B166" i="16"/>
  <c r="B165" i="16"/>
  <c r="B164" i="16"/>
  <c r="B163" i="16"/>
  <c r="B162" i="16"/>
  <c r="B161" i="16"/>
  <c r="B160" i="16"/>
  <c r="B159" i="16"/>
  <c r="B158" i="16"/>
  <c r="B157" i="16"/>
  <c r="B156" i="16"/>
  <c r="B155" i="16"/>
  <c r="B154" i="16"/>
  <c r="B153" i="16"/>
  <c r="B152" i="16"/>
  <c r="B151"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5" i="16"/>
  <c r="B124" i="16"/>
  <c r="B123" i="16"/>
  <c r="B122" i="16"/>
  <c r="B121" i="16"/>
  <c r="B120" i="16"/>
  <c r="B119" i="16"/>
  <c r="B118" i="16"/>
  <c r="B117" i="16"/>
  <c r="B116" i="16"/>
  <c r="B115" i="16"/>
  <c r="B114" i="16"/>
  <c r="B113" i="16"/>
  <c r="B112" i="16"/>
  <c r="B111" i="16"/>
  <c r="B110" i="16"/>
  <c r="B108" i="16"/>
  <c r="B107" i="16"/>
  <c r="B106" i="16"/>
  <c r="B105" i="16"/>
  <c r="B103" i="16"/>
  <c r="B102" i="16"/>
  <c r="B101" i="16"/>
  <c r="B100" i="16"/>
  <c r="B99" i="16"/>
  <c r="B98" i="16"/>
  <c r="B97" i="16"/>
  <c r="B96" i="16"/>
  <c r="B95" i="16"/>
  <c r="B94" i="16"/>
  <c r="B93" i="16"/>
  <c r="B92" i="16"/>
  <c r="B91" i="16"/>
  <c r="B89" i="16"/>
  <c r="B88" i="16"/>
  <c r="B87" i="16"/>
  <c r="B86" i="16"/>
  <c r="B85" i="16"/>
  <c r="B84" i="16"/>
  <c r="B83" i="16"/>
  <c r="B82" i="16"/>
  <c r="B81" i="16"/>
  <c r="B80" i="16"/>
  <c r="B79" i="16"/>
  <c r="B78" i="16"/>
  <c r="B77" i="16"/>
  <c r="B76" i="16"/>
  <c r="B74" i="16"/>
  <c r="B73" i="16"/>
  <c r="B72" i="16"/>
  <c r="B71" i="16"/>
  <c r="B70" i="16"/>
  <c r="B69" i="16"/>
  <c r="B68" i="16"/>
  <c r="B67" i="16"/>
  <c r="B66" i="16"/>
  <c r="B64" i="16"/>
  <c r="B63" i="16"/>
  <c r="B62" i="16"/>
  <c r="B61" i="16"/>
  <c r="B60" i="16"/>
  <c r="B58" i="16"/>
  <c r="B57" i="16"/>
  <c r="B56" i="16"/>
  <c r="B55" i="16"/>
  <c r="B54" i="16"/>
  <c r="B53" i="16"/>
  <c r="B52" i="16"/>
  <c r="B51" i="16"/>
  <c r="B50" i="16"/>
  <c r="B49" i="16"/>
  <c r="B48" i="16"/>
  <c r="B47" i="16"/>
  <c r="B46" i="16"/>
  <c r="B45" i="16"/>
  <c r="B44" i="16"/>
  <c r="B43" i="16"/>
  <c r="B42" i="16"/>
  <c r="B41" i="16"/>
  <c r="B39" i="16"/>
  <c r="B38" i="16"/>
  <c r="B37" i="16"/>
  <c r="B36" i="16"/>
  <c r="B35" i="16"/>
  <c r="B34" i="16"/>
  <c r="B33" i="16"/>
  <c r="D345" i="16"/>
  <c r="C345" i="16"/>
  <c r="D336" i="16"/>
  <c r="C336" i="16"/>
  <c r="D327" i="16"/>
  <c r="C327" i="16"/>
  <c r="D311" i="16"/>
  <c r="C311" i="16"/>
  <c r="D305" i="16"/>
  <c r="C305" i="16"/>
  <c r="D366" i="16"/>
  <c r="C366" i="16"/>
  <c r="D357" i="16"/>
  <c r="C357" i="16"/>
  <c r="D339" i="16"/>
  <c r="C339" i="16"/>
  <c r="D291" i="16"/>
  <c r="C291" i="16"/>
  <c r="D282" i="16"/>
  <c r="C282" i="16"/>
  <c r="D279" i="16"/>
  <c r="C279" i="16"/>
  <c r="D276" i="16"/>
  <c r="C276" i="16"/>
  <c r="D272" i="16"/>
  <c r="C272" i="16"/>
  <c r="D267" i="16"/>
  <c r="C267" i="16"/>
  <c r="D261" i="16"/>
  <c r="C261" i="16"/>
  <c r="D250" i="16"/>
  <c r="C250" i="16"/>
  <c r="D237" i="16"/>
  <c r="C237" i="16"/>
  <c r="D207" i="16"/>
  <c r="C207" i="16"/>
  <c r="D200" i="16"/>
  <c r="C200" i="16"/>
  <c r="D195" i="16"/>
  <c r="C195" i="16"/>
  <c r="D179" i="16"/>
  <c r="C179" i="16"/>
  <c r="D167" i="16"/>
  <c r="C167" i="16"/>
  <c r="D150" i="16"/>
  <c r="C150" i="16"/>
  <c r="D126" i="16"/>
  <c r="C126" i="16"/>
  <c r="D90" i="16"/>
  <c r="C90" i="16"/>
  <c r="D75" i="16"/>
  <c r="C75" i="16"/>
  <c r="D65" i="16"/>
  <c r="C65" i="16"/>
  <c r="D59" i="16"/>
  <c r="C59" i="16"/>
  <c r="D40" i="16"/>
  <c r="C40" i="16"/>
  <c r="D32" i="16"/>
  <c r="C32" i="16"/>
  <c r="D23" i="16"/>
  <c r="C23" i="16"/>
  <c r="D17" i="16"/>
  <c r="C17" i="16"/>
  <c r="D7" i="16"/>
  <c r="C7" i="16"/>
  <c r="B26" i="16"/>
  <c r="B27" i="16"/>
  <c r="B28" i="16"/>
  <c r="B29" i="16"/>
  <c r="B30" i="16"/>
  <c r="B31" i="16"/>
  <c r="B25" i="16"/>
  <c r="B22" i="16"/>
  <c r="B21" i="16"/>
  <c r="B20" i="16"/>
  <c r="B19" i="16"/>
  <c r="B18" i="16"/>
  <c r="B9" i="16"/>
  <c r="B10" i="16"/>
  <c r="B11" i="16"/>
  <c r="B12" i="16"/>
  <c r="B13" i="16"/>
  <c r="B14" i="16"/>
  <c r="B15" i="16"/>
  <c r="B16" i="16"/>
  <c r="B8" i="16"/>
  <c r="B21" i="14"/>
  <c r="B20" i="14"/>
  <c r="B19" i="14"/>
  <c r="H33" i="21" l="1"/>
  <c r="C21" i="14"/>
  <c r="E21" i="14" s="1"/>
  <c r="C20" i="12"/>
  <c r="D21" i="14"/>
  <c r="D19" i="14"/>
  <c r="C19" i="14"/>
  <c r="C20" i="14"/>
  <c r="E20" i="14" s="1"/>
  <c r="E19" i="14" l="1"/>
  <c r="E97" i="14"/>
  <c r="E94" i="14"/>
  <c r="E92" i="14"/>
  <c r="E91" i="14"/>
  <c r="H34" i="21"/>
  <c r="E96" i="14"/>
  <c r="E93" i="14"/>
  <c r="E95" i="14"/>
  <c r="E90" i="14"/>
  <c r="B25" i="14"/>
  <c r="E25" i="14"/>
  <c r="B26" i="14"/>
  <c r="E26" i="14"/>
  <c r="B27" i="14"/>
  <c r="E27" i="14"/>
  <c r="B28" i="14"/>
  <c r="E28" i="14"/>
  <c r="B30" i="14"/>
  <c r="E30" i="14"/>
  <c r="N290" i="20"/>
  <c r="T290" i="20" s="1"/>
  <c r="V290" i="20" s="1"/>
  <c r="N291" i="20"/>
  <c r="T291" i="20" s="1"/>
  <c r="V291" i="20" s="1"/>
  <c r="N292" i="20"/>
  <c r="T292" i="20" s="1"/>
  <c r="V292" i="20" s="1"/>
  <c r="N293" i="20"/>
  <c r="T293" i="20" s="1"/>
  <c r="V293" i="20" s="1"/>
  <c r="N294" i="20"/>
  <c r="T294" i="20" s="1"/>
  <c r="V294" i="20" s="1"/>
  <c r="N295" i="20"/>
  <c r="T295" i="20" s="1"/>
  <c r="B16" i="14"/>
  <c r="A107" i="14"/>
  <c r="A106" i="14"/>
  <c r="A105" i="14"/>
  <c r="A104" i="14"/>
  <c r="A103" i="14"/>
  <c r="A102" i="14"/>
  <c r="A101" i="14"/>
  <c r="N301" i="20"/>
  <c r="T301" i="20" s="1"/>
  <c r="V301" i="20" s="1"/>
  <c r="N297" i="20"/>
  <c r="T297" i="20" s="1"/>
  <c r="N289" i="20"/>
  <c r="T289" i="20" s="1"/>
  <c r="V289" i="20" s="1"/>
  <c r="N287" i="20"/>
  <c r="T287" i="20" s="1"/>
  <c r="V287" i="20" s="1"/>
  <c r="N283" i="20"/>
  <c r="T283" i="20" s="1"/>
  <c r="V283" i="20" s="1"/>
  <c r="N279" i="20"/>
  <c r="T279" i="20" s="1"/>
  <c r="V279" i="20" s="1"/>
  <c r="N277" i="20"/>
  <c r="T277" i="20" s="1"/>
  <c r="V277" i="20" s="1"/>
  <c r="N275" i="20"/>
  <c r="T275" i="20" s="1"/>
  <c r="V275" i="20" s="1"/>
  <c r="N273" i="20"/>
  <c r="T273" i="20" s="1"/>
  <c r="N271" i="20"/>
  <c r="T271" i="20" s="1"/>
  <c r="V271" i="20" s="1"/>
  <c r="N269" i="20"/>
  <c r="T269" i="20" s="1"/>
  <c r="V269" i="20" s="1"/>
  <c r="N267" i="20"/>
  <c r="T267" i="20" s="1"/>
  <c r="N265" i="20"/>
  <c r="T265" i="20" s="1"/>
  <c r="V265" i="20" s="1"/>
  <c r="N263" i="20"/>
  <c r="T263" i="20" s="1"/>
  <c r="V263" i="20" s="1"/>
  <c r="N261" i="20"/>
  <c r="T261" i="20" s="1"/>
  <c r="V261" i="20" s="1"/>
  <c r="N259" i="20"/>
  <c r="T259" i="20" s="1"/>
  <c r="V259" i="20" s="1"/>
  <c r="N258" i="20"/>
  <c r="T258" i="20" s="1"/>
  <c r="V258" i="20" s="1"/>
  <c r="N256" i="20"/>
  <c r="T256" i="20" s="1"/>
  <c r="N254" i="20"/>
  <c r="T254" i="20" s="1"/>
  <c r="N250" i="20"/>
  <c r="T250" i="20" s="1"/>
  <c r="N246" i="20"/>
  <c r="T246" i="20" s="1"/>
  <c r="V246" i="20" s="1"/>
  <c r="N242" i="20"/>
  <c r="T242" i="20" s="1"/>
  <c r="N238" i="20"/>
  <c r="T238" i="20" s="1"/>
  <c r="B97" i="14"/>
  <c r="B96" i="14"/>
  <c r="B95" i="14"/>
  <c r="B94" i="14"/>
  <c r="B93" i="14"/>
  <c r="B92" i="14"/>
  <c r="B90" i="14"/>
  <c r="E88" i="14"/>
  <c r="B88" i="14"/>
  <c r="B87" i="14"/>
  <c r="B86" i="14"/>
  <c r="B85" i="14"/>
  <c r="B84" i="14"/>
  <c r="B83" i="14"/>
  <c r="B82" i="14"/>
  <c r="B81" i="14"/>
  <c r="B80" i="14"/>
  <c r="B79" i="14"/>
  <c r="B78" i="14"/>
  <c r="B77" i="14"/>
  <c r="B76" i="14"/>
  <c r="E75" i="14"/>
  <c r="B75" i="14"/>
  <c r="E74" i="14"/>
  <c r="B74" i="14"/>
  <c r="B72" i="14"/>
  <c r="E71" i="14"/>
  <c r="B71" i="14"/>
  <c r="E70" i="14"/>
  <c r="B70" i="14"/>
  <c r="E69" i="14"/>
  <c r="B69" i="14"/>
  <c r="E68" i="14"/>
  <c r="B68" i="14"/>
  <c r="E66" i="14"/>
  <c r="B66" i="14"/>
  <c r="E65" i="14"/>
  <c r="B65" i="14"/>
  <c r="E64" i="14"/>
  <c r="B64" i="14"/>
  <c r="E63" i="14"/>
  <c r="B63" i="14"/>
  <c r="E62" i="14"/>
  <c r="B62" i="14"/>
  <c r="B61" i="14"/>
  <c r="E60" i="14"/>
  <c r="B60" i="14"/>
  <c r="E59" i="14"/>
  <c r="B59" i="14"/>
  <c r="E58" i="14"/>
  <c r="B58" i="14"/>
  <c r="E57" i="14"/>
  <c r="B57" i="14"/>
  <c r="E56" i="14"/>
  <c r="B56" i="14"/>
  <c r="E55" i="14"/>
  <c r="B55" i="14"/>
  <c r="E54" i="14"/>
  <c r="B54" i="14"/>
  <c r="E51" i="14"/>
  <c r="B51" i="14"/>
  <c r="E50" i="14"/>
  <c r="B50" i="14"/>
  <c r="E49" i="14"/>
  <c r="B49" i="14"/>
  <c r="E48" i="14"/>
  <c r="B48" i="14"/>
  <c r="E47" i="14"/>
  <c r="B47" i="14"/>
  <c r="E46" i="14"/>
  <c r="B46" i="14"/>
  <c r="E45" i="14"/>
  <c r="B45" i="14"/>
  <c r="E43" i="14"/>
  <c r="B43" i="14"/>
  <c r="E42" i="14"/>
  <c r="B42" i="14"/>
  <c r="E40" i="14"/>
  <c r="B40" i="14"/>
  <c r="E39" i="14"/>
  <c r="B39" i="14"/>
  <c r="E37" i="14"/>
  <c r="B37" i="14"/>
  <c r="E36" i="14"/>
  <c r="B36" i="14"/>
  <c r="B35" i="14"/>
  <c r="E33" i="14"/>
  <c r="B33" i="14"/>
  <c r="E32" i="14"/>
  <c r="B32" i="14"/>
  <c r="E31" i="14"/>
  <c r="B31" i="14"/>
  <c r="E24" i="14"/>
  <c r="B24" i="14"/>
  <c r="B17" i="14"/>
  <c r="B15" i="14"/>
  <c r="B14" i="14"/>
  <c r="B13" i="14"/>
  <c r="A65" i="13"/>
  <c r="A64" i="13"/>
  <c r="A63" i="13"/>
  <c r="A62" i="13"/>
  <c r="A61" i="13"/>
  <c r="A60" i="13"/>
  <c r="A59" i="13"/>
  <c r="N333" i="20"/>
  <c r="N330" i="20"/>
  <c r="T330" i="20" s="1"/>
  <c r="N329" i="20"/>
  <c r="N326" i="20"/>
  <c r="N325" i="20"/>
  <c r="N322" i="20"/>
  <c r="T322" i="20" s="1"/>
  <c r="V322" i="20" s="1"/>
  <c r="N321" i="20"/>
  <c r="N318" i="20"/>
  <c r="N317" i="20"/>
  <c r="N313" i="20"/>
  <c r="N310" i="20"/>
  <c r="N306" i="20"/>
  <c r="N305" i="20"/>
  <c r="B55" i="13"/>
  <c r="B346" i="22" s="1"/>
  <c r="B54" i="13"/>
  <c r="B345" i="22" s="1"/>
  <c r="B53" i="13"/>
  <c r="B344" i="22" s="1"/>
  <c r="B52" i="13"/>
  <c r="B343" i="22" s="1"/>
  <c r="B51" i="13"/>
  <c r="B342" i="22" s="1"/>
  <c r="B50" i="13"/>
  <c r="B341" i="22" s="1"/>
  <c r="B48" i="13"/>
  <c r="B339" i="22" s="1"/>
  <c r="B47" i="13"/>
  <c r="B338" i="22" s="1"/>
  <c r="B46" i="13"/>
  <c r="B337" i="22" s="1"/>
  <c r="B45" i="13"/>
  <c r="B336" i="22" s="1"/>
  <c r="B44" i="13"/>
  <c r="B335" i="22" s="1"/>
  <c r="B43" i="13"/>
  <c r="B334" i="22" s="1"/>
  <c r="B42" i="13"/>
  <c r="B333" i="22" s="1"/>
  <c r="B41" i="13"/>
  <c r="B332" i="22" s="1"/>
  <c r="B39" i="13"/>
  <c r="B330" i="22" s="1"/>
  <c r="B38" i="13"/>
  <c r="B329" i="22" s="1"/>
  <c r="B37" i="13"/>
  <c r="B328" i="22" s="1"/>
  <c r="B36" i="13"/>
  <c r="B327" i="22" s="1"/>
  <c r="B35" i="13"/>
  <c r="B326" i="22" s="1"/>
  <c r="B33" i="13"/>
  <c r="B324" i="22" s="1"/>
  <c r="B32" i="13"/>
  <c r="B323" i="22" s="1"/>
  <c r="B31" i="13"/>
  <c r="B322" i="22" s="1"/>
  <c r="B30" i="13"/>
  <c r="B321" i="22" s="1"/>
  <c r="B29" i="13"/>
  <c r="B320" i="22" s="1"/>
  <c r="B27" i="13"/>
  <c r="B318" i="22" s="1"/>
  <c r="B26" i="13"/>
  <c r="B317" i="22" s="1"/>
  <c r="B25" i="13"/>
  <c r="B316" i="22" s="1"/>
  <c r="B24" i="13"/>
  <c r="B315" i="22" s="1"/>
  <c r="B23" i="13"/>
  <c r="B314" i="22" s="1"/>
  <c r="B21" i="13"/>
  <c r="B312" i="22" s="1"/>
  <c r="B20" i="13"/>
  <c r="B311" i="22" s="1"/>
  <c r="D18" i="13"/>
  <c r="C18" i="13"/>
  <c r="E32" i="13" s="1"/>
  <c r="B18" i="13"/>
  <c r="B16" i="13"/>
  <c r="B15" i="13"/>
  <c r="B14" i="13"/>
  <c r="B13" i="13"/>
  <c r="N230" i="20"/>
  <c r="N231" i="20"/>
  <c r="N234" i="20"/>
  <c r="N61" i="20"/>
  <c r="T61" i="20" s="1"/>
  <c r="N62" i="20"/>
  <c r="N187" i="20"/>
  <c r="N188" i="20"/>
  <c r="N190" i="20"/>
  <c r="N191" i="20"/>
  <c r="T191" i="20" s="1"/>
  <c r="N194" i="20"/>
  <c r="N195" i="20"/>
  <c r="N198" i="20"/>
  <c r="N199" i="20"/>
  <c r="N202" i="20"/>
  <c r="N203" i="20"/>
  <c r="N206" i="20"/>
  <c r="N207" i="20"/>
  <c r="N208" i="20"/>
  <c r="N210" i="20"/>
  <c r="N211" i="20"/>
  <c r="T211" i="20" s="1"/>
  <c r="N214" i="20"/>
  <c r="T214" i="20" s="1"/>
  <c r="N216" i="20"/>
  <c r="N218" i="20"/>
  <c r="N219" i="20"/>
  <c r="N220" i="20"/>
  <c r="N222" i="20"/>
  <c r="N226" i="20"/>
  <c r="N58" i="20"/>
  <c r="B24" i="12"/>
  <c r="B247" i="22" s="1"/>
  <c r="B25" i="12"/>
  <c r="B26" i="12"/>
  <c r="B250" i="22" s="1"/>
  <c r="B27" i="12"/>
  <c r="B251" i="22" s="1"/>
  <c r="B28" i="12"/>
  <c r="B252" i="22" s="1"/>
  <c r="B29" i="12"/>
  <c r="B253" i="22" s="1"/>
  <c r="B30" i="12"/>
  <c r="B254" i="22" s="1"/>
  <c r="B31" i="12"/>
  <c r="B255" i="22" s="1"/>
  <c r="D21" i="12"/>
  <c r="C21" i="12"/>
  <c r="E80" i="12" s="1"/>
  <c r="B21" i="12"/>
  <c r="D20" i="12"/>
  <c r="B20" i="12"/>
  <c r="D19" i="12"/>
  <c r="C19" i="12"/>
  <c r="B19" i="12"/>
  <c r="D18" i="12"/>
  <c r="C18" i="12"/>
  <c r="B18" i="12"/>
  <c r="D18" i="9"/>
  <c r="C18" i="9"/>
  <c r="E36" i="9" s="1"/>
  <c r="E144" i="22" s="1"/>
  <c r="E169" i="25" s="1"/>
  <c r="B18" i="9"/>
  <c r="D18" i="10"/>
  <c r="C18" i="10"/>
  <c r="E59" i="10" s="1"/>
  <c r="B18" i="10"/>
  <c r="D18" i="11"/>
  <c r="C18" i="11"/>
  <c r="B18" i="11"/>
  <c r="A94" i="12"/>
  <c r="A93" i="12"/>
  <c r="A92" i="12"/>
  <c r="A91" i="12"/>
  <c r="A90" i="12"/>
  <c r="A89" i="12"/>
  <c r="A88" i="12"/>
  <c r="B85" i="12"/>
  <c r="B309" i="22" s="1"/>
  <c r="B84" i="12"/>
  <c r="B308" i="22" s="1"/>
  <c r="B83" i="12"/>
  <c r="B307" i="22" s="1"/>
  <c r="B82" i="12"/>
  <c r="B306" i="22" s="1"/>
  <c r="B81" i="12"/>
  <c r="B305" i="22" s="1"/>
  <c r="B80" i="12"/>
  <c r="B304" i="22" s="1"/>
  <c r="B79" i="12"/>
  <c r="B303" i="22" s="1"/>
  <c r="B78" i="12"/>
  <c r="B302" i="22" s="1"/>
  <c r="B77" i="12"/>
  <c r="B301" i="22" s="1"/>
  <c r="B76" i="12"/>
  <c r="B300" i="22" s="1"/>
  <c r="B74" i="12"/>
  <c r="B298" i="22" s="1"/>
  <c r="B73" i="12"/>
  <c r="B297" i="22" s="1"/>
  <c r="B72" i="12"/>
  <c r="B296" i="22" s="1"/>
  <c r="B71" i="12"/>
  <c r="B295" i="22" s="1"/>
  <c r="B70" i="12"/>
  <c r="B294" i="22" s="1"/>
  <c r="B69" i="12"/>
  <c r="B293" i="22" s="1"/>
  <c r="B68" i="12"/>
  <c r="B292" i="22" s="1"/>
  <c r="B67" i="12"/>
  <c r="B291" i="22" s="1"/>
  <c r="B66" i="12"/>
  <c r="B290" i="22" s="1"/>
  <c r="B65" i="12"/>
  <c r="B289" i="22" s="1"/>
  <c r="B64" i="12"/>
  <c r="B288" i="22" s="1"/>
  <c r="B63" i="12"/>
  <c r="B287" i="22" s="1"/>
  <c r="B61" i="12"/>
  <c r="B285" i="22" s="1"/>
  <c r="B60" i="12"/>
  <c r="B284" i="22" s="1"/>
  <c r="B59" i="12"/>
  <c r="B283" i="22" s="1"/>
  <c r="B58" i="12"/>
  <c r="B282" i="22" s="1"/>
  <c r="B57" i="12"/>
  <c r="B281" i="22" s="1"/>
  <c r="B56" i="12"/>
  <c r="B280" i="22" s="1"/>
  <c r="B55" i="12"/>
  <c r="B279" i="22" s="1"/>
  <c r="B54" i="12"/>
  <c r="B278" i="22" s="1"/>
  <c r="B53" i="12"/>
  <c r="B277" i="22" s="1"/>
  <c r="B52" i="12"/>
  <c r="B276" i="22" s="1"/>
  <c r="B51" i="12"/>
  <c r="B275" i="22" s="1"/>
  <c r="B50" i="12"/>
  <c r="B274" i="22" s="1"/>
  <c r="B49" i="12"/>
  <c r="B273" i="22" s="1"/>
  <c r="B48" i="12"/>
  <c r="B272" i="22" s="1"/>
  <c r="B47" i="12"/>
  <c r="B271" i="22" s="1"/>
  <c r="B46" i="12"/>
  <c r="B270" i="22" s="1"/>
  <c r="B45" i="12"/>
  <c r="B269" i="22" s="1"/>
  <c r="B44" i="12"/>
  <c r="B268" i="22" s="1"/>
  <c r="B43" i="12"/>
  <c r="B267" i="22" s="1"/>
  <c r="B42" i="12"/>
  <c r="B266" i="22" s="1"/>
  <c r="B41" i="12"/>
  <c r="B265" i="22" s="1"/>
  <c r="B40" i="12"/>
  <c r="B264" i="22" s="1"/>
  <c r="B39" i="12"/>
  <c r="B263" i="22" s="1"/>
  <c r="B38" i="12"/>
  <c r="B262" i="22" s="1"/>
  <c r="B37" i="12"/>
  <c r="B261" i="22" s="1"/>
  <c r="B36" i="12"/>
  <c r="B260" i="22" s="1"/>
  <c r="B35" i="12"/>
  <c r="B259" i="22" s="1"/>
  <c r="B34" i="12"/>
  <c r="B258" i="22" s="1"/>
  <c r="B33" i="12"/>
  <c r="B257" i="22" s="1"/>
  <c r="B23" i="12"/>
  <c r="B246" i="22" s="1"/>
  <c r="B16" i="12"/>
  <c r="B15" i="12"/>
  <c r="B14" i="12"/>
  <c r="B13" i="12"/>
  <c r="N38" i="20"/>
  <c r="N42" i="20"/>
  <c r="N44" i="20"/>
  <c r="N49" i="20"/>
  <c r="A47" i="11"/>
  <c r="A46" i="11"/>
  <c r="A45" i="11"/>
  <c r="A44" i="11"/>
  <c r="A43" i="11"/>
  <c r="A42" i="11"/>
  <c r="A41" i="11"/>
  <c r="B37" i="11"/>
  <c r="B244" i="22" s="1"/>
  <c r="B36" i="11"/>
  <c r="B243" i="22" s="1"/>
  <c r="B35" i="11"/>
  <c r="B242" i="22" s="1"/>
  <c r="B34" i="11"/>
  <c r="B241" i="22" s="1"/>
  <c r="B33" i="11"/>
  <c r="B240" i="22" s="1"/>
  <c r="B32" i="11"/>
  <c r="B239" i="22" s="1"/>
  <c r="B31" i="11"/>
  <c r="B238" i="22" s="1"/>
  <c r="B30" i="11"/>
  <c r="B237" i="22" s="1"/>
  <c r="B29" i="11"/>
  <c r="B236" i="22" s="1"/>
  <c r="B28" i="11"/>
  <c r="B235" i="22" s="1"/>
  <c r="B27" i="11"/>
  <c r="B234" i="22" s="1"/>
  <c r="B26" i="11"/>
  <c r="B233" i="22" s="1"/>
  <c r="B25" i="11"/>
  <c r="B232" i="22" s="1"/>
  <c r="B24" i="11"/>
  <c r="B231" i="22" s="1"/>
  <c r="B23" i="11"/>
  <c r="B230" i="22" s="1"/>
  <c r="B22" i="11"/>
  <c r="B229" i="22" s="1"/>
  <c r="B21" i="11"/>
  <c r="B228" i="22" s="1"/>
  <c r="B20" i="11"/>
  <c r="B227" i="22" s="1"/>
  <c r="B16" i="11"/>
  <c r="B15" i="11"/>
  <c r="B14" i="11"/>
  <c r="B13" i="11"/>
  <c r="N183" i="20"/>
  <c r="T183" i="20" s="1"/>
  <c r="N182" i="20"/>
  <c r="T182" i="20" s="1"/>
  <c r="N179" i="20"/>
  <c r="N178" i="20"/>
  <c r="N177" i="20"/>
  <c r="N158" i="20"/>
  <c r="N157" i="20"/>
  <c r="A78" i="10"/>
  <c r="A79" i="10"/>
  <c r="A80" i="10"/>
  <c r="A81" i="10"/>
  <c r="A82" i="10"/>
  <c r="A83" i="10"/>
  <c r="A84" i="10"/>
  <c r="N154" i="20"/>
  <c r="N153" i="20"/>
  <c r="T153" i="20" s="1"/>
  <c r="N151" i="20"/>
  <c r="N149" i="20"/>
  <c r="N147" i="20"/>
  <c r="N77" i="20"/>
  <c r="T77" i="20" s="1"/>
  <c r="N70" i="20"/>
  <c r="N69" i="20"/>
  <c r="T69" i="20" s="1"/>
  <c r="D186" i="22"/>
  <c r="D190" i="25" s="1"/>
  <c r="E57" i="8"/>
  <c r="E58" i="8"/>
  <c r="E59" i="8"/>
  <c r="E60" i="8"/>
  <c r="E61" i="8"/>
  <c r="E62" i="8"/>
  <c r="E63" i="8"/>
  <c r="E64" i="8"/>
  <c r="E65" i="8"/>
  <c r="E66" i="8"/>
  <c r="E23" i="8"/>
  <c r="E24" i="8"/>
  <c r="E25" i="8"/>
  <c r="E26" i="8"/>
  <c r="E27" i="8"/>
  <c r="E28" i="8"/>
  <c r="E30" i="8"/>
  <c r="E31" i="8"/>
  <c r="E32" i="8"/>
  <c r="E33" i="8"/>
  <c r="E34" i="8"/>
  <c r="E36" i="8"/>
  <c r="E39" i="8"/>
  <c r="E40" i="8"/>
  <c r="E41" i="8"/>
  <c r="E42" i="8"/>
  <c r="E43" i="8"/>
  <c r="E44" i="8"/>
  <c r="E45" i="8"/>
  <c r="E46" i="8"/>
  <c r="E47" i="8"/>
  <c r="E48" i="8"/>
  <c r="E49" i="8"/>
  <c r="E50" i="8"/>
  <c r="E51" i="8"/>
  <c r="E53" i="8"/>
  <c r="E54" i="8"/>
  <c r="E55" i="8"/>
  <c r="E56" i="8"/>
  <c r="B20" i="10"/>
  <c r="B171" i="22" s="1"/>
  <c r="B21" i="10"/>
  <c r="B172" i="22" s="1"/>
  <c r="B22" i="10"/>
  <c r="B173" i="22" s="1"/>
  <c r="B23" i="10"/>
  <c r="B174" i="22" s="1"/>
  <c r="B24" i="10"/>
  <c r="B175" i="22" s="1"/>
  <c r="B25" i="10"/>
  <c r="B176" i="22" s="1"/>
  <c r="B26" i="10"/>
  <c r="B177" i="22" s="1"/>
  <c r="B27" i="10"/>
  <c r="B178" i="22" s="1"/>
  <c r="B28" i="10"/>
  <c r="B179" i="22" s="1"/>
  <c r="B29" i="10"/>
  <c r="B180" i="22" s="1"/>
  <c r="B30" i="10"/>
  <c r="B181" i="22" s="1"/>
  <c r="B74" i="10"/>
  <c r="B225" i="22" s="1"/>
  <c r="B73" i="10"/>
  <c r="B224" i="22" s="1"/>
  <c r="B72" i="10"/>
  <c r="B223" i="22" s="1"/>
  <c r="B71" i="10"/>
  <c r="B222" i="22" s="1"/>
  <c r="B70" i="10"/>
  <c r="B221" i="22" s="1"/>
  <c r="B69" i="10"/>
  <c r="B220" i="22" s="1"/>
  <c r="B67" i="10"/>
  <c r="B218" i="22" s="1"/>
  <c r="B66" i="10"/>
  <c r="B217" i="22" s="1"/>
  <c r="B65" i="10"/>
  <c r="B216" i="22" s="1"/>
  <c r="B64" i="10"/>
  <c r="B215" i="22" s="1"/>
  <c r="B62" i="10"/>
  <c r="B213" i="22" s="1"/>
  <c r="B61" i="10"/>
  <c r="B212" i="22" s="1"/>
  <c r="B60" i="10"/>
  <c r="B211" i="22" s="1"/>
  <c r="B59" i="10"/>
  <c r="B210" i="22" s="1"/>
  <c r="B58" i="10"/>
  <c r="B209" i="22" s="1"/>
  <c r="B57" i="10"/>
  <c r="B208" i="22" s="1"/>
  <c r="B56" i="10"/>
  <c r="B207" i="22" s="1"/>
  <c r="B55" i="10"/>
  <c r="B206" i="22" s="1"/>
  <c r="B54" i="10"/>
  <c r="B205" i="22" s="1"/>
  <c r="B53" i="10"/>
  <c r="B204" i="22" s="1"/>
  <c r="B52" i="10"/>
  <c r="B203" i="22" s="1"/>
  <c r="B50" i="10"/>
  <c r="B201" i="22" s="1"/>
  <c r="B49" i="10"/>
  <c r="B200" i="22" s="1"/>
  <c r="B48" i="10"/>
  <c r="B199" i="22" s="1"/>
  <c r="B47" i="10"/>
  <c r="B198" i="22" s="1"/>
  <c r="B46" i="10"/>
  <c r="B197" i="22" s="1"/>
  <c r="B45" i="10"/>
  <c r="B196" i="22" s="1"/>
  <c r="B44" i="10"/>
  <c r="B195" i="22" s="1"/>
  <c r="B43" i="10"/>
  <c r="B194" i="22" s="1"/>
  <c r="B42" i="10"/>
  <c r="B193" i="22" s="1"/>
  <c r="B41" i="10"/>
  <c r="B192" i="22" s="1"/>
  <c r="B40" i="10"/>
  <c r="B191" i="22" s="1"/>
  <c r="B39" i="10"/>
  <c r="B190" i="22" s="1"/>
  <c r="B38" i="10"/>
  <c r="B189" i="22" s="1"/>
  <c r="B37" i="10"/>
  <c r="B188" i="22" s="1"/>
  <c r="B36" i="10"/>
  <c r="B187" i="22" s="1"/>
  <c r="B35" i="10"/>
  <c r="B186" i="22" s="1"/>
  <c r="B33" i="10"/>
  <c r="B184" i="22" s="1"/>
  <c r="B32" i="10"/>
  <c r="B183" i="22" s="1"/>
  <c r="B31" i="10"/>
  <c r="B182" i="22" s="1"/>
  <c r="B16" i="10"/>
  <c r="B15" i="10"/>
  <c r="B14" i="10"/>
  <c r="B13" i="10"/>
  <c r="A72" i="9"/>
  <c r="A71" i="9"/>
  <c r="A70" i="9"/>
  <c r="A69" i="9"/>
  <c r="A68" i="9"/>
  <c r="A67" i="9"/>
  <c r="A66" i="9"/>
  <c r="N133" i="20"/>
  <c r="N127" i="20"/>
  <c r="T127" i="20" s="1"/>
  <c r="N123" i="20"/>
  <c r="N121" i="20"/>
  <c r="T121" i="20" s="1"/>
  <c r="N119" i="20"/>
  <c r="N115" i="20"/>
  <c r="T115" i="20" s="1"/>
  <c r="N95" i="20"/>
  <c r="T95" i="20" s="1"/>
  <c r="B61" i="9"/>
  <c r="B169" i="22" s="1"/>
  <c r="B60" i="9"/>
  <c r="B168" i="22" s="1"/>
  <c r="B59" i="9"/>
  <c r="B167" i="22" s="1"/>
  <c r="B58" i="9"/>
  <c r="B166" i="22" s="1"/>
  <c r="B57" i="9"/>
  <c r="B165" i="22" s="1"/>
  <c r="B56" i="9"/>
  <c r="B164" i="22" s="1"/>
  <c r="B55" i="9"/>
  <c r="B163" i="22" s="1"/>
  <c r="B54" i="9"/>
  <c r="B162" i="22" s="1"/>
  <c r="B53" i="9"/>
  <c r="B161" i="22" s="1"/>
  <c r="B52" i="9"/>
  <c r="B160" i="22" s="1"/>
  <c r="B51" i="9"/>
  <c r="B159" i="22" s="1"/>
  <c r="B50" i="9"/>
  <c r="B158" i="22" s="1"/>
  <c r="B49" i="9"/>
  <c r="B157" i="22" s="1"/>
  <c r="B48" i="9"/>
  <c r="B156" i="22" s="1"/>
  <c r="B47" i="9"/>
  <c r="B155" i="22" s="1"/>
  <c r="B46" i="9"/>
  <c r="B154" i="22" s="1"/>
  <c r="B45" i="9"/>
  <c r="B153" i="22" s="1"/>
  <c r="B44" i="9"/>
  <c r="B152" i="22" s="1"/>
  <c r="B43" i="9"/>
  <c r="B151" i="22" s="1"/>
  <c r="B42" i="9"/>
  <c r="B150" i="22" s="1"/>
  <c r="B41" i="9"/>
  <c r="B149" i="22" s="1"/>
  <c r="B40" i="9"/>
  <c r="B148" i="22" s="1"/>
  <c r="B39" i="9"/>
  <c r="B147" i="22" s="1"/>
  <c r="B37" i="9"/>
  <c r="B145" i="22" s="1"/>
  <c r="B36" i="9"/>
  <c r="B144" i="22" s="1"/>
  <c r="B35" i="9"/>
  <c r="B143" i="22" s="1"/>
  <c r="B34" i="9"/>
  <c r="B142" i="22" s="1"/>
  <c r="B33" i="9"/>
  <c r="B141" i="22" s="1"/>
  <c r="B32" i="9"/>
  <c r="B140" i="22" s="1"/>
  <c r="B31" i="9"/>
  <c r="B139" i="22" s="1"/>
  <c r="B30" i="9"/>
  <c r="B138" i="22" s="1"/>
  <c r="B29" i="9"/>
  <c r="B137" i="22" s="1"/>
  <c r="B28" i="9"/>
  <c r="B136" i="22" s="1"/>
  <c r="B27" i="9"/>
  <c r="B135" i="22" s="1"/>
  <c r="B26" i="9"/>
  <c r="B134" i="22" s="1"/>
  <c r="B25" i="9"/>
  <c r="B133" i="22" s="1"/>
  <c r="B24" i="9"/>
  <c r="B132" i="22" s="1"/>
  <c r="B23" i="9"/>
  <c r="B131" i="22" s="1"/>
  <c r="B22" i="9"/>
  <c r="B130" i="22" s="1"/>
  <c r="B21" i="9"/>
  <c r="B129" i="22" s="1"/>
  <c r="B20" i="9"/>
  <c r="B128" i="22" s="1"/>
  <c r="B16" i="9"/>
  <c r="B15" i="9"/>
  <c r="B14" i="9"/>
  <c r="B13" i="9"/>
  <c r="N173" i="20"/>
  <c r="N172" i="20"/>
  <c r="N170" i="20"/>
  <c r="N166" i="20"/>
  <c r="T166" i="20" s="1"/>
  <c r="N165" i="20"/>
  <c r="N164" i="20"/>
  <c r="A72" i="8"/>
  <c r="A73" i="8"/>
  <c r="A74" i="8"/>
  <c r="A75" i="8"/>
  <c r="A76" i="8"/>
  <c r="A77" i="8"/>
  <c r="N162" i="20"/>
  <c r="N109" i="20"/>
  <c r="N108" i="20"/>
  <c r="N107" i="20"/>
  <c r="N105" i="20"/>
  <c r="B23" i="8"/>
  <c r="B82" i="22" s="1"/>
  <c r="B24" i="8"/>
  <c r="B83" i="22" s="1"/>
  <c r="B25" i="8"/>
  <c r="B84" i="22" s="1"/>
  <c r="B26" i="8"/>
  <c r="B85" i="22" s="1"/>
  <c r="B86" i="22"/>
  <c r="B28" i="8"/>
  <c r="B87" i="22" s="1"/>
  <c r="B30" i="8"/>
  <c r="B89" i="22" s="1"/>
  <c r="B31" i="8"/>
  <c r="B90" i="22" s="1"/>
  <c r="B32" i="8"/>
  <c r="B91" i="22" s="1"/>
  <c r="B33" i="8"/>
  <c r="B92" i="22" s="1"/>
  <c r="B34" i="8"/>
  <c r="B93" i="22" s="1"/>
  <c r="B36" i="8"/>
  <c r="B95" i="22" s="1"/>
  <c r="B37" i="8"/>
  <c r="B96" i="22" s="1"/>
  <c r="B38" i="8"/>
  <c r="B97" i="22" s="1"/>
  <c r="B39" i="8"/>
  <c r="B98" i="22" s="1"/>
  <c r="B40" i="8"/>
  <c r="B99" i="22" s="1"/>
  <c r="B41" i="8"/>
  <c r="B100" i="22" s="1"/>
  <c r="B42" i="8"/>
  <c r="B101" i="22" s="1"/>
  <c r="B43" i="8"/>
  <c r="B102" i="22" s="1"/>
  <c r="B44" i="8"/>
  <c r="B103" i="22" s="1"/>
  <c r="B45" i="8"/>
  <c r="B104" i="22" s="1"/>
  <c r="B46" i="8"/>
  <c r="B105" i="22" s="1"/>
  <c r="B47" i="8"/>
  <c r="B106" i="22" s="1"/>
  <c r="B48" i="8"/>
  <c r="B107" i="22" s="1"/>
  <c r="B49" i="8"/>
  <c r="B108" i="22" s="1"/>
  <c r="B50" i="8"/>
  <c r="B109" i="22" s="1"/>
  <c r="B51" i="8"/>
  <c r="B110" i="22" s="1"/>
  <c r="B53" i="8"/>
  <c r="B112" i="22" s="1"/>
  <c r="B54" i="8"/>
  <c r="B113" i="22" s="1"/>
  <c r="B55" i="8"/>
  <c r="B114" i="22" s="1"/>
  <c r="B56" i="8"/>
  <c r="B115" i="22" s="1"/>
  <c r="B14" i="8"/>
  <c r="B15" i="8"/>
  <c r="B16" i="8"/>
  <c r="B17" i="8"/>
  <c r="B18" i="8"/>
  <c r="B19" i="8"/>
  <c r="B20" i="8"/>
  <c r="B13" i="8"/>
  <c r="B24" i="4"/>
  <c r="B67" i="22" s="1"/>
  <c r="B25" i="4"/>
  <c r="B68" i="22" s="1"/>
  <c r="B26" i="4"/>
  <c r="B69" i="22" s="1"/>
  <c r="B70" i="22"/>
  <c r="B29" i="4"/>
  <c r="B72" i="22" s="1"/>
  <c r="B30" i="4"/>
  <c r="B73" i="22" s="1"/>
  <c r="B31" i="4"/>
  <c r="B74" i="22" s="1"/>
  <c r="B32" i="4"/>
  <c r="B75" i="22" s="1"/>
  <c r="B33" i="4"/>
  <c r="B76" i="22" s="1"/>
  <c r="B34" i="4"/>
  <c r="B77" i="22" s="1"/>
  <c r="B78" i="22"/>
  <c r="B23" i="4"/>
  <c r="B66" i="22" s="1"/>
  <c r="B14" i="4"/>
  <c r="B15" i="4"/>
  <c r="B16" i="4"/>
  <c r="A10" i="21" s="1"/>
  <c r="B17" i="4"/>
  <c r="A11" i="21" s="1"/>
  <c r="B18" i="4"/>
  <c r="A12" i="21" s="1"/>
  <c r="B19" i="4"/>
  <c r="B62" i="22" s="1"/>
  <c r="B20" i="4"/>
  <c r="B63" i="22" s="1"/>
  <c r="B21" i="4"/>
  <c r="B64" i="22" s="1"/>
  <c r="B13" i="4"/>
  <c r="B67" i="8"/>
  <c r="B126" i="22" s="1"/>
  <c r="B66" i="8"/>
  <c r="B125" i="22" s="1"/>
  <c r="B65" i="8"/>
  <c r="B124" i="22" s="1"/>
  <c r="B64" i="8"/>
  <c r="B123" i="22" s="1"/>
  <c r="B63" i="8"/>
  <c r="B122" i="22" s="1"/>
  <c r="B62" i="8"/>
  <c r="B121" i="22" s="1"/>
  <c r="B61" i="8"/>
  <c r="B120" i="22" s="1"/>
  <c r="B60" i="8"/>
  <c r="B119" i="22" s="1"/>
  <c r="B59" i="8"/>
  <c r="B118" i="22" s="1"/>
  <c r="B58" i="8"/>
  <c r="B117" i="22" s="1"/>
  <c r="B57" i="8"/>
  <c r="B116" i="22" s="1"/>
  <c r="D81" i="22"/>
  <c r="D136" i="25" s="1"/>
  <c r="B22" i="8"/>
  <c r="B81" i="22" s="1"/>
  <c r="E24" i="4"/>
  <c r="E25" i="4"/>
  <c r="E26" i="4"/>
  <c r="E27" i="4"/>
  <c r="E29" i="4"/>
  <c r="E30" i="4"/>
  <c r="E31" i="4"/>
  <c r="E32" i="4"/>
  <c r="E33" i="4"/>
  <c r="E34" i="4"/>
  <c r="E23" i="4"/>
  <c r="E32" i="10" l="1"/>
  <c r="E55" i="10"/>
  <c r="D92" i="22"/>
  <c r="D149" i="25" s="1"/>
  <c r="E92" i="22"/>
  <c r="D74" i="22"/>
  <c r="E74" i="22"/>
  <c r="D110" i="22"/>
  <c r="E110" i="22"/>
  <c r="D102" i="22"/>
  <c r="E102" i="22"/>
  <c r="D93" i="22"/>
  <c r="E93" i="22"/>
  <c r="D84" i="22"/>
  <c r="D138" i="25" s="1"/>
  <c r="E84" i="22"/>
  <c r="D121" i="22"/>
  <c r="D202" i="25" s="1"/>
  <c r="E121" i="22"/>
  <c r="D55" i="25"/>
  <c r="E55" i="25"/>
  <c r="D60" i="25"/>
  <c r="E60" i="25"/>
  <c r="D66" i="25"/>
  <c r="E66" i="25"/>
  <c r="D71" i="25"/>
  <c r="E71" i="25"/>
  <c r="D77" i="25"/>
  <c r="E77" i="25"/>
  <c r="D81" i="25"/>
  <c r="E81" i="25"/>
  <c r="D85" i="25"/>
  <c r="E85" i="25"/>
  <c r="D89" i="25"/>
  <c r="E89" i="25"/>
  <c r="D94" i="25"/>
  <c r="E94" i="25"/>
  <c r="D99" i="25"/>
  <c r="E99" i="25"/>
  <c r="D103" i="25"/>
  <c r="E103" i="25"/>
  <c r="D107" i="25"/>
  <c r="E107" i="25"/>
  <c r="D111" i="25"/>
  <c r="E111" i="25"/>
  <c r="D114" i="25"/>
  <c r="E114" i="25"/>
  <c r="D101" i="22"/>
  <c r="E101" i="22"/>
  <c r="D108" i="22"/>
  <c r="E108" i="22"/>
  <c r="D100" i="22"/>
  <c r="E100" i="22"/>
  <c r="D91" i="22"/>
  <c r="D148" i="25" s="1"/>
  <c r="E91" i="22"/>
  <c r="D82" i="22"/>
  <c r="E82" i="22"/>
  <c r="D119" i="22"/>
  <c r="E119" i="22"/>
  <c r="D56" i="25"/>
  <c r="E56" i="25"/>
  <c r="D62" i="25"/>
  <c r="E62" i="25"/>
  <c r="D68" i="25"/>
  <c r="E68" i="25"/>
  <c r="D72" i="25"/>
  <c r="E72" i="25"/>
  <c r="D78" i="25"/>
  <c r="E78" i="25"/>
  <c r="D82" i="25"/>
  <c r="E82" i="25"/>
  <c r="D86" i="25"/>
  <c r="E86" i="25"/>
  <c r="D91" i="25"/>
  <c r="E91" i="25"/>
  <c r="D95" i="25"/>
  <c r="E95" i="25"/>
  <c r="D100" i="25"/>
  <c r="E100" i="25"/>
  <c r="D104" i="25"/>
  <c r="E104" i="25"/>
  <c r="D108" i="25"/>
  <c r="E108" i="25"/>
  <c r="D49" i="25"/>
  <c r="E49" i="25"/>
  <c r="D117" i="25"/>
  <c r="E117" i="25"/>
  <c r="D83" i="22"/>
  <c r="D137" i="25" s="1"/>
  <c r="E83" i="22"/>
  <c r="D53" i="25"/>
  <c r="E53" i="25"/>
  <c r="D118" i="25"/>
  <c r="E118" i="25"/>
  <c r="D72" i="22"/>
  <c r="E72" i="22"/>
  <c r="D70" i="22"/>
  <c r="E70" i="22"/>
  <c r="D107" i="22"/>
  <c r="E107" i="22"/>
  <c r="D99" i="22"/>
  <c r="E99" i="22"/>
  <c r="D90" i="22"/>
  <c r="D147" i="25" s="1"/>
  <c r="E90" i="22"/>
  <c r="D126" i="22"/>
  <c r="D206" i="25" s="1"/>
  <c r="E126" i="22"/>
  <c r="D118" i="22"/>
  <c r="E118" i="22"/>
  <c r="D116" i="25"/>
  <c r="E116" i="25"/>
  <c r="D120" i="22"/>
  <c r="E120" i="22"/>
  <c r="D66" i="22"/>
  <c r="D126" i="25" s="1"/>
  <c r="E66" i="22"/>
  <c r="D69" i="22"/>
  <c r="D129" i="25" s="1"/>
  <c r="E69" i="22"/>
  <c r="D115" i="22"/>
  <c r="D201" i="25" s="1"/>
  <c r="E115" i="22"/>
  <c r="D106" i="22"/>
  <c r="E106" i="22"/>
  <c r="D98" i="22"/>
  <c r="E98" i="22"/>
  <c r="D89" i="22"/>
  <c r="D146" i="25" s="1"/>
  <c r="E89" i="22"/>
  <c r="D125" i="22"/>
  <c r="D205" i="25" s="1"/>
  <c r="E125" i="22"/>
  <c r="D117" i="22"/>
  <c r="E117" i="22"/>
  <c r="D47" i="25"/>
  <c r="E47" i="25"/>
  <c r="D58" i="25"/>
  <c r="E58" i="25"/>
  <c r="D63" i="25"/>
  <c r="E63" i="25"/>
  <c r="D69" i="25"/>
  <c r="E69" i="25"/>
  <c r="D73" i="25"/>
  <c r="E73" i="25"/>
  <c r="D79" i="25"/>
  <c r="E79" i="25"/>
  <c r="D83" i="25"/>
  <c r="E83" i="25"/>
  <c r="D87" i="25"/>
  <c r="E87" i="25"/>
  <c r="D92" i="25"/>
  <c r="E92" i="25"/>
  <c r="D97" i="25"/>
  <c r="E97" i="25"/>
  <c r="D101" i="25"/>
  <c r="E101" i="25"/>
  <c r="D105" i="25"/>
  <c r="E105" i="25"/>
  <c r="D109" i="25"/>
  <c r="E109" i="25"/>
  <c r="D51" i="25"/>
  <c r="E51" i="25"/>
  <c r="D115" i="25"/>
  <c r="E115" i="25"/>
  <c r="D109" i="22"/>
  <c r="E109" i="22"/>
  <c r="D114" i="22"/>
  <c r="D200" i="25" s="1"/>
  <c r="E114" i="22"/>
  <c r="D105" i="22"/>
  <c r="E105" i="22"/>
  <c r="D97" i="22"/>
  <c r="E97" i="22"/>
  <c r="D87" i="22"/>
  <c r="D141" i="25" s="1"/>
  <c r="E87" i="22"/>
  <c r="D124" i="22"/>
  <c r="E124" i="22"/>
  <c r="D116" i="22"/>
  <c r="E116" i="22"/>
  <c r="D48" i="25"/>
  <c r="E48" i="25"/>
  <c r="D120" i="25"/>
  <c r="E120" i="25"/>
  <c r="D77" i="22"/>
  <c r="D133" i="25" s="1"/>
  <c r="E77" i="22"/>
  <c r="D68" i="22"/>
  <c r="D128" i="25" s="1"/>
  <c r="E68" i="22"/>
  <c r="D76" i="22"/>
  <c r="D132" i="25" s="1"/>
  <c r="E76" i="22"/>
  <c r="D67" i="22"/>
  <c r="D127" i="25" s="1"/>
  <c r="E67" i="22"/>
  <c r="D113" i="22"/>
  <c r="E113" i="22"/>
  <c r="D104" i="22"/>
  <c r="E104" i="22"/>
  <c r="D96" i="22"/>
  <c r="D172" i="25" s="1"/>
  <c r="E96" i="22"/>
  <c r="D86" i="22"/>
  <c r="D140" i="25" s="1"/>
  <c r="E86" i="22"/>
  <c r="D123" i="22"/>
  <c r="D204" i="25" s="1"/>
  <c r="E123" i="22"/>
  <c r="D54" i="25"/>
  <c r="E54" i="25"/>
  <c r="D59" i="25"/>
  <c r="E59" i="25"/>
  <c r="D65" i="25"/>
  <c r="E65" i="25"/>
  <c r="D70" i="25"/>
  <c r="E70" i="25"/>
  <c r="D74" i="25"/>
  <c r="E74" i="25"/>
  <c r="D80" i="25"/>
  <c r="E80" i="25"/>
  <c r="D84" i="25"/>
  <c r="E84" i="25"/>
  <c r="D88" i="25"/>
  <c r="E88" i="25"/>
  <c r="D93" i="25"/>
  <c r="E93" i="25"/>
  <c r="D98" i="25"/>
  <c r="E98" i="25"/>
  <c r="D102" i="25"/>
  <c r="E102" i="25"/>
  <c r="D106" i="25"/>
  <c r="E106" i="25"/>
  <c r="D110" i="25"/>
  <c r="E110" i="25"/>
  <c r="D119" i="25"/>
  <c r="E119" i="25"/>
  <c r="D73" i="22"/>
  <c r="E73" i="22"/>
  <c r="D75" i="22"/>
  <c r="D131" i="25" s="1"/>
  <c r="E75" i="22"/>
  <c r="D112" i="22"/>
  <c r="E112" i="22"/>
  <c r="D103" i="22"/>
  <c r="E103" i="22"/>
  <c r="D95" i="22"/>
  <c r="D171" i="25" s="1"/>
  <c r="E95" i="22"/>
  <c r="D85" i="22"/>
  <c r="D139" i="25" s="1"/>
  <c r="E85" i="22"/>
  <c r="D122" i="22"/>
  <c r="D203" i="25" s="1"/>
  <c r="E122" i="22"/>
  <c r="D50" i="25"/>
  <c r="E50" i="25"/>
  <c r="D113" i="25"/>
  <c r="E113" i="25"/>
  <c r="V238" i="20"/>
  <c r="A9" i="21"/>
  <c r="C9" i="21" s="1"/>
  <c r="E35" i="13"/>
  <c r="C12" i="21"/>
  <c r="C11" i="21"/>
  <c r="C10" i="21"/>
  <c r="A16" i="25"/>
  <c r="C16" i="25" s="1"/>
  <c r="A14" i="21"/>
  <c r="C14" i="21" s="1"/>
  <c r="A15" i="25"/>
  <c r="C15" i="25" s="1"/>
  <c r="A13" i="21"/>
  <c r="C13" i="21" s="1"/>
  <c r="S172" i="20"/>
  <c r="T172" i="20"/>
  <c r="V172" i="20" s="1"/>
  <c r="H35" i="21"/>
  <c r="S109" i="20"/>
  <c r="T109" i="20"/>
  <c r="V109" i="20" s="1"/>
  <c r="S119" i="20"/>
  <c r="T119" i="20"/>
  <c r="T147" i="20"/>
  <c r="V147" i="20" s="1"/>
  <c r="S179" i="20"/>
  <c r="T179" i="20"/>
  <c r="S49" i="20"/>
  <c r="T49" i="20"/>
  <c r="V49" i="20" s="1"/>
  <c r="S226" i="20"/>
  <c r="T226" i="20"/>
  <c r="V226" i="20" s="1"/>
  <c r="T210" i="20"/>
  <c r="V210" i="20" s="1"/>
  <c r="S195" i="20"/>
  <c r="T195" i="20"/>
  <c r="V195" i="20" s="1"/>
  <c r="S234" i="20"/>
  <c r="T234" i="20"/>
  <c r="V234" i="20" s="1"/>
  <c r="S321" i="20"/>
  <c r="T321" i="20"/>
  <c r="S123" i="20"/>
  <c r="T123" i="20"/>
  <c r="V123" i="20" s="1"/>
  <c r="S325" i="20"/>
  <c r="T325" i="20"/>
  <c r="V325" i="20" s="1"/>
  <c r="S105" i="20"/>
  <c r="T105" i="20"/>
  <c r="V105" i="20" s="1"/>
  <c r="S108" i="20"/>
  <c r="T108" i="20"/>
  <c r="V108" i="20" s="1"/>
  <c r="S178" i="20"/>
  <c r="T178" i="20"/>
  <c r="S198" i="20"/>
  <c r="T198" i="20"/>
  <c r="V198" i="20" s="1"/>
  <c r="S318" i="20"/>
  <c r="T318" i="20"/>
  <c r="V318" i="20" s="1"/>
  <c r="S162" i="20"/>
  <c r="T162" i="20"/>
  <c r="S164" i="20"/>
  <c r="T164" i="20"/>
  <c r="S149" i="20"/>
  <c r="T149" i="20"/>
  <c r="V149" i="20" s="1"/>
  <c r="S44" i="20"/>
  <c r="T44" i="20"/>
  <c r="V44" i="20" s="1"/>
  <c r="S222" i="20"/>
  <c r="T222" i="20"/>
  <c r="V222" i="20" s="1"/>
  <c r="S208" i="20"/>
  <c r="T208" i="20"/>
  <c r="V208" i="20" s="1"/>
  <c r="S194" i="20"/>
  <c r="T194" i="20"/>
  <c r="V194" i="20" s="1"/>
  <c r="S231" i="20"/>
  <c r="T231" i="20"/>
  <c r="V231" i="20" s="1"/>
  <c r="S220" i="20"/>
  <c r="T220" i="20"/>
  <c r="V220" i="20" s="1"/>
  <c r="S38" i="20"/>
  <c r="T38" i="20"/>
  <c r="S219" i="20"/>
  <c r="T219" i="20"/>
  <c r="V219" i="20" s="1"/>
  <c r="S206" i="20"/>
  <c r="T206" i="20"/>
  <c r="V206" i="20" s="1"/>
  <c r="S190" i="20"/>
  <c r="T190" i="20"/>
  <c r="S306" i="20"/>
  <c r="T306" i="20"/>
  <c r="S326" i="20"/>
  <c r="T326" i="20"/>
  <c r="V326" i="20" s="1"/>
  <c r="S170" i="20"/>
  <c r="T170" i="20"/>
  <c r="V170" i="20" s="1"/>
  <c r="S133" i="20"/>
  <c r="T133" i="20"/>
  <c r="V133" i="20" s="1"/>
  <c r="S70" i="20"/>
  <c r="T70" i="20"/>
  <c r="S154" i="20"/>
  <c r="T154" i="20"/>
  <c r="S157" i="20"/>
  <c r="T157" i="20"/>
  <c r="V157" i="20" s="1"/>
  <c r="S218" i="20"/>
  <c r="T218" i="20"/>
  <c r="S203" i="20"/>
  <c r="T203" i="20"/>
  <c r="V203" i="20" s="1"/>
  <c r="S188" i="20"/>
  <c r="T188" i="20"/>
  <c r="S310" i="20"/>
  <c r="T310" i="20"/>
  <c r="S329" i="20"/>
  <c r="T329" i="20"/>
  <c r="S165" i="20"/>
  <c r="T165" i="20"/>
  <c r="V165" i="20" s="1"/>
  <c r="S207" i="20"/>
  <c r="T207" i="20"/>
  <c r="V207" i="20" s="1"/>
  <c r="S313" i="20"/>
  <c r="T313" i="20"/>
  <c r="S151" i="20"/>
  <c r="T151" i="20"/>
  <c r="S305" i="20"/>
  <c r="T305" i="20"/>
  <c r="S158" i="20"/>
  <c r="T158" i="20"/>
  <c r="V158" i="20" s="1"/>
  <c r="S216" i="20"/>
  <c r="T216" i="20"/>
  <c r="S202" i="20"/>
  <c r="T202" i="20"/>
  <c r="V202" i="20" s="1"/>
  <c r="S187" i="20"/>
  <c r="T187" i="20"/>
  <c r="S107" i="20"/>
  <c r="T107" i="20"/>
  <c r="V107" i="20" s="1"/>
  <c r="S173" i="20"/>
  <c r="T173" i="20"/>
  <c r="V173" i="20" s="1"/>
  <c r="S177" i="20"/>
  <c r="T177" i="20"/>
  <c r="S199" i="20"/>
  <c r="T199" i="20"/>
  <c r="V199" i="20" s="1"/>
  <c r="S62" i="20"/>
  <c r="T62" i="20"/>
  <c r="V62" i="20" s="1"/>
  <c r="S317" i="20"/>
  <c r="T317" i="20"/>
  <c r="S333" i="20"/>
  <c r="T333" i="20"/>
  <c r="V333" i="20" s="1"/>
  <c r="S42" i="20"/>
  <c r="T42" i="20"/>
  <c r="V42" i="20" s="1"/>
  <c r="S230" i="20"/>
  <c r="T230" i="20"/>
  <c r="V230" i="20" s="1"/>
  <c r="S58" i="20"/>
  <c r="T58" i="20"/>
  <c r="B61" i="22"/>
  <c r="A14" i="25"/>
  <c r="C14" i="25" s="1"/>
  <c r="B60" i="22"/>
  <c r="A13" i="25"/>
  <c r="C13" i="25" s="1"/>
  <c r="B59" i="22"/>
  <c r="A12" i="25"/>
  <c r="C12" i="25" s="1"/>
  <c r="B56" i="22"/>
  <c r="A11" i="25"/>
  <c r="C11" i="25" s="1"/>
  <c r="B58" i="22"/>
  <c r="A16" i="22"/>
  <c r="C16" i="22" s="1"/>
  <c r="B57" i="22"/>
  <c r="A15" i="22"/>
  <c r="C15" i="22" s="1"/>
  <c r="B249" i="22"/>
  <c r="B248" i="22"/>
  <c r="A13" i="22"/>
  <c r="C13" i="22" s="1"/>
  <c r="A11" i="22"/>
  <c r="C11" i="22" s="1"/>
  <c r="A12" i="22"/>
  <c r="C12" i="22" s="1"/>
  <c r="K4" i="20"/>
  <c r="N4" i="20"/>
  <c r="A14" i="22"/>
  <c r="C14" i="22" s="1"/>
  <c r="K173" i="20"/>
  <c r="O173" i="20" s="1"/>
  <c r="K203" i="20"/>
  <c r="O203" i="20" s="1"/>
  <c r="K279" i="20"/>
  <c r="O279" i="20" s="1"/>
  <c r="K108" i="20"/>
  <c r="O108" i="20" s="1"/>
  <c r="K166" i="20"/>
  <c r="O166" i="20" s="1"/>
  <c r="K115" i="20"/>
  <c r="O115" i="20" s="1"/>
  <c r="K123" i="20"/>
  <c r="O123" i="20" s="1"/>
  <c r="K69" i="20"/>
  <c r="O69" i="20" s="1"/>
  <c r="K77" i="20"/>
  <c r="O77" i="20" s="1"/>
  <c r="K147" i="20"/>
  <c r="K179" i="20"/>
  <c r="O179" i="20" s="1"/>
  <c r="K226" i="20"/>
  <c r="O226" i="20" s="1"/>
  <c r="K218" i="20"/>
  <c r="O218" i="20" s="1"/>
  <c r="K210" i="20"/>
  <c r="O210" i="20" s="1"/>
  <c r="K202" i="20"/>
  <c r="O202" i="20" s="1"/>
  <c r="K194" i="20"/>
  <c r="O194" i="20" s="1"/>
  <c r="K234" i="20"/>
  <c r="O234" i="20" s="1"/>
  <c r="K305" i="20"/>
  <c r="O305" i="20" s="1"/>
  <c r="K313" i="20"/>
  <c r="O313" i="20" s="1"/>
  <c r="K322" i="20"/>
  <c r="O322" i="20" s="1"/>
  <c r="K330" i="20"/>
  <c r="O330" i="20" s="1"/>
  <c r="K261" i="20"/>
  <c r="O261" i="20" s="1"/>
  <c r="K292" i="20"/>
  <c r="O292" i="20" s="1"/>
  <c r="K219" i="20"/>
  <c r="O219" i="20" s="1"/>
  <c r="K269" i="20"/>
  <c r="O269" i="20" s="1"/>
  <c r="K44" i="20"/>
  <c r="O44" i="20" s="1"/>
  <c r="K133" i="20"/>
  <c r="O133" i="20" s="1"/>
  <c r="K149" i="20"/>
  <c r="O149" i="20" s="1"/>
  <c r="K158" i="20"/>
  <c r="O158" i="20" s="1"/>
  <c r="K216" i="20"/>
  <c r="O216" i="20" s="1"/>
  <c r="K208" i="20"/>
  <c r="O208" i="20" s="1"/>
  <c r="K62" i="20"/>
  <c r="O62" i="20" s="1"/>
  <c r="K263" i="20"/>
  <c r="O263" i="20" s="1"/>
  <c r="K273" i="20"/>
  <c r="O273" i="20" s="1"/>
  <c r="K283" i="20"/>
  <c r="O283" i="20" s="1"/>
  <c r="K290" i="20"/>
  <c r="O290" i="20" s="1"/>
  <c r="K165" i="20"/>
  <c r="O165" i="20" s="1"/>
  <c r="K187" i="20"/>
  <c r="O187" i="20" s="1"/>
  <c r="K321" i="20"/>
  <c r="O321" i="20" s="1"/>
  <c r="K259" i="20"/>
  <c r="O259" i="20" s="1"/>
  <c r="K109" i="20"/>
  <c r="O109" i="20" s="1"/>
  <c r="K70" i="20"/>
  <c r="O70" i="20" s="1"/>
  <c r="K199" i="20"/>
  <c r="O199" i="20" s="1"/>
  <c r="K191" i="20"/>
  <c r="O191" i="20" s="1"/>
  <c r="K61" i="20"/>
  <c r="O61" i="20" s="1"/>
  <c r="K231" i="20"/>
  <c r="O231" i="20" s="1"/>
  <c r="K317" i="20"/>
  <c r="O317" i="20" s="1"/>
  <c r="K325" i="20"/>
  <c r="O325" i="20" s="1"/>
  <c r="K333" i="20"/>
  <c r="O333" i="20" s="1"/>
  <c r="K254" i="20"/>
  <c r="O254" i="20" s="1"/>
  <c r="K265" i="20"/>
  <c r="O265" i="20" s="1"/>
  <c r="K107" i="20"/>
  <c r="O107" i="20" s="1"/>
  <c r="K178" i="20"/>
  <c r="O178" i="20" s="1"/>
  <c r="K38" i="20"/>
  <c r="O38" i="20" s="1"/>
  <c r="K211" i="20"/>
  <c r="O211" i="20" s="1"/>
  <c r="K289" i="20"/>
  <c r="O289" i="20" s="1"/>
  <c r="K293" i="20"/>
  <c r="O293" i="20" s="1"/>
  <c r="K271" i="20"/>
  <c r="O271" i="20" s="1"/>
  <c r="K42" i="20"/>
  <c r="O42" i="20" s="1"/>
  <c r="K207" i="20"/>
  <c r="O207" i="20" s="1"/>
  <c r="K170" i="20"/>
  <c r="O170" i="20" s="1"/>
  <c r="K95" i="20"/>
  <c r="K119" i="20"/>
  <c r="O119" i="20" s="1"/>
  <c r="K127" i="20"/>
  <c r="O127" i="20" s="1"/>
  <c r="K151" i="20"/>
  <c r="O151" i="20" s="1"/>
  <c r="K183" i="20"/>
  <c r="O183" i="20" s="1"/>
  <c r="K49" i="20"/>
  <c r="O49" i="20" s="1"/>
  <c r="K58" i="20"/>
  <c r="O58" i="20" s="1"/>
  <c r="K222" i="20"/>
  <c r="O222" i="20" s="1"/>
  <c r="K214" i="20"/>
  <c r="O214" i="20" s="1"/>
  <c r="K206" i="20"/>
  <c r="O206" i="20" s="1"/>
  <c r="K198" i="20"/>
  <c r="O198" i="20" s="1"/>
  <c r="K190" i="20"/>
  <c r="O190" i="20" s="1"/>
  <c r="K230" i="20"/>
  <c r="O230" i="20" s="1"/>
  <c r="K318" i="20"/>
  <c r="O318" i="20" s="1"/>
  <c r="K326" i="20"/>
  <c r="O326" i="20" s="1"/>
  <c r="K256" i="20"/>
  <c r="O256" i="20" s="1"/>
  <c r="K275" i="20"/>
  <c r="O275" i="20" s="1"/>
  <c r="K301" i="20"/>
  <c r="O301" i="20" s="1"/>
  <c r="K154" i="20"/>
  <c r="O154" i="20" s="1"/>
  <c r="K195" i="20"/>
  <c r="O195" i="20" s="1"/>
  <c r="K250" i="20"/>
  <c r="O250" i="20" s="1"/>
  <c r="K242" i="20"/>
  <c r="O242" i="20" s="1"/>
  <c r="K182" i="20"/>
  <c r="O182" i="20" s="1"/>
  <c r="K105" i="20"/>
  <c r="O105" i="20" s="1"/>
  <c r="K162" i="20"/>
  <c r="O162" i="20" s="1"/>
  <c r="K310" i="20"/>
  <c r="O310" i="20" s="1"/>
  <c r="K246" i="20"/>
  <c r="O246" i="20" s="1"/>
  <c r="K267" i="20"/>
  <c r="O267" i="20" s="1"/>
  <c r="K277" i="20"/>
  <c r="O277" i="20" s="1"/>
  <c r="K287" i="20"/>
  <c r="O287" i="20" s="1"/>
  <c r="K295" i="20"/>
  <c r="O295" i="20" s="1"/>
  <c r="K329" i="20"/>
  <c r="O329" i="20" s="1"/>
  <c r="K238" i="20"/>
  <c r="K157" i="20"/>
  <c r="O157" i="20" s="1"/>
  <c r="K306" i="20"/>
  <c r="O306" i="20" s="1"/>
  <c r="K297" i="20"/>
  <c r="O297" i="20" s="1"/>
  <c r="K291" i="20"/>
  <c r="O291" i="20" s="1"/>
  <c r="K164" i="20"/>
  <c r="O164" i="20" s="1"/>
  <c r="K172" i="20"/>
  <c r="O172" i="20" s="1"/>
  <c r="K121" i="20"/>
  <c r="O121" i="20" s="1"/>
  <c r="K153" i="20"/>
  <c r="O153" i="20" s="1"/>
  <c r="K177" i="20"/>
  <c r="O177" i="20" s="1"/>
  <c r="K220" i="20"/>
  <c r="O220" i="20" s="1"/>
  <c r="K188" i="20"/>
  <c r="O188" i="20" s="1"/>
  <c r="K258" i="20"/>
  <c r="O258" i="20" s="1"/>
  <c r="K294" i="20"/>
  <c r="O294" i="20" s="1"/>
  <c r="N314" i="20"/>
  <c r="N309" i="20"/>
  <c r="N215" i="20"/>
  <c r="N186" i="20"/>
  <c r="T186" i="20" s="1"/>
  <c r="N55" i="20"/>
  <c r="N176" i="20"/>
  <c r="N150" i="20"/>
  <c r="T150" i="20" s="1"/>
  <c r="N135" i="20"/>
  <c r="N25" i="20"/>
  <c r="N39" i="20"/>
  <c r="N13" i="20"/>
  <c r="T13" i="20" s="1"/>
  <c r="V13" i="20" s="1"/>
  <c r="N22" i="20"/>
  <c r="N21" i="20"/>
  <c r="N41" i="20"/>
  <c r="N48" i="20"/>
  <c r="N40" i="20"/>
  <c r="N169" i="20"/>
  <c r="N312" i="20"/>
  <c r="N139" i="20"/>
  <c r="N141" i="20"/>
  <c r="N54" i="20"/>
  <c r="N53" i="20"/>
  <c r="T53" i="20" s="1"/>
  <c r="N28" i="20"/>
  <c r="N103" i="20"/>
  <c r="N102" i="20"/>
  <c r="T102" i="20" s="1"/>
  <c r="N97" i="20"/>
  <c r="N30" i="20"/>
  <c r="T30" i="20" s="1"/>
  <c r="N29" i="20"/>
  <c r="N101" i="20"/>
  <c r="N52" i="20"/>
  <c r="T52" i="20" s="1"/>
  <c r="N27" i="20"/>
  <c r="N100" i="20"/>
  <c r="N51" i="20"/>
  <c r="T51" i="20" s="1"/>
  <c r="N26" i="20"/>
  <c r="N99" i="20"/>
  <c r="T99" i="20" s="1"/>
  <c r="N50" i="20"/>
  <c r="T50" i="20" s="1"/>
  <c r="N171" i="20"/>
  <c r="N98" i="20"/>
  <c r="N31" i="20"/>
  <c r="T31" i="20" s="1"/>
  <c r="N20" i="20"/>
  <c r="E51" i="13"/>
  <c r="E43" i="13"/>
  <c r="E52" i="13"/>
  <c r="E44" i="13"/>
  <c r="E53" i="13"/>
  <c r="E45" i="13"/>
  <c r="E54" i="13"/>
  <c r="E46" i="13"/>
  <c r="E55" i="13"/>
  <c r="E47" i="13"/>
  <c r="E42" i="13"/>
  <c r="E48" i="13"/>
  <c r="E50" i="13"/>
  <c r="E18" i="13"/>
  <c r="E41" i="13"/>
  <c r="E25" i="13"/>
  <c r="E21" i="13"/>
  <c r="E33" i="13"/>
  <c r="E26" i="13"/>
  <c r="E20" i="13"/>
  <c r="E36" i="13"/>
  <c r="E27" i="13"/>
  <c r="E37" i="13"/>
  <c r="E29" i="13"/>
  <c r="E38" i="13"/>
  <c r="E30" i="13"/>
  <c r="E39" i="13"/>
  <c r="E31" i="13"/>
  <c r="E23" i="13"/>
  <c r="E24" i="13"/>
  <c r="N233" i="20"/>
  <c r="N232" i="20"/>
  <c r="E21" i="12"/>
  <c r="E77" i="12"/>
  <c r="E85" i="12"/>
  <c r="E78" i="12"/>
  <c r="E76" i="12"/>
  <c r="E84" i="12"/>
  <c r="E79" i="12"/>
  <c r="E82" i="12"/>
  <c r="E83" i="12"/>
  <c r="E81" i="12"/>
  <c r="E20" i="12"/>
  <c r="E66" i="12"/>
  <c r="E74" i="12"/>
  <c r="E71" i="12"/>
  <c r="E67" i="12"/>
  <c r="E63" i="12"/>
  <c r="E72" i="12"/>
  <c r="E65" i="12"/>
  <c r="E68" i="12"/>
  <c r="E69" i="12"/>
  <c r="E64" i="12"/>
  <c r="E73" i="12"/>
  <c r="E70" i="12"/>
  <c r="E40" i="12"/>
  <c r="E48" i="12"/>
  <c r="E56" i="12"/>
  <c r="E43" i="12"/>
  <c r="E36" i="12"/>
  <c r="E52" i="12"/>
  <c r="E53" i="12"/>
  <c r="E41" i="12"/>
  <c r="E49" i="12"/>
  <c r="E57" i="12"/>
  <c r="E35" i="12"/>
  <c r="E51" i="12"/>
  <c r="E44" i="12"/>
  <c r="E37" i="12"/>
  <c r="E61" i="12"/>
  <c r="E46" i="12"/>
  <c r="E39" i="12"/>
  <c r="E55" i="12"/>
  <c r="E34" i="12"/>
  <c r="E42" i="12"/>
  <c r="E50" i="12"/>
  <c r="E58" i="12"/>
  <c r="E59" i="12"/>
  <c r="E60" i="12"/>
  <c r="E45" i="12"/>
  <c r="E38" i="12"/>
  <c r="E54" i="12"/>
  <c r="E47" i="12"/>
  <c r="E64" i="10"/>
  <c r="E73" i="10"/>
  <c r="E65" i="10"/>
  <c r="E74" i="10"/>
  <c r="E60" i="10"/>
  <c r="E70" i="10"/>
  <c r="E71" i="10"/>
  <c r="E72" i="10"/>
  <c r="E66" i="10"/>
  <c r="E53" i="10"/>
  <c r="E61" i="10"/>
  <c r="E52" i="10"/>
  <c r="E56" i="10"/>
  <c r="E58" i="10"/>
  <c r="E67" i="10"/>
  <c r="E54" i="10"/>
  <c r="E62" i="10"/>
  <c r="E69" i="10"/>
  <c r="E57" i="10"/>
  <c r="E19" i="12"/>
  <c r="E33" i="12"/>
  <c r="E18" i="9"/>
  <c r="E39" i="9"/>
  <c r="E40" i="9"/>
  <c r="E41" i="9"/>
  <c r="E49" i="9"/>
  <c r="E57" i="9"/>
  <c r="E23" i="9"/>
  <c r="E31" i="9"/>
  <c r="E20" i="9"/>
  <c r="E42" i="9"/>
  <c r="E50" i="9"/>
  <c r="E58" i="9"/>
  <c r="E24" i="9"/>
  <c r="E32" i="9"/>
  <c r="E51" i="9"/>
  <c r="E59" i="9"/>
  <c r="E25" i="9"/>
  <c r="E33" i="9"/>
  <c r="E52" i="9"/>
  <c r="E60" i="9"/>
  <c r="E26" i="9"/>
  <c r="E34" i="9"/>
  <c r="E53" i="9"/>
  <c r="E61" i="9"/>
  <c r="E27" i="9"/>
  <c r="E35" i="9"/>
  <c r="E54" i="9"/>
  <c r="E28" i="9"/>
  <c r="D144" i="22"/>
  <c r="D169" i="25" s="1"/>
  <c r="E47" i="9"/>
  <c r="E55" i="9"/>
  <c r="E21" i="9"/>
  <c r="E29" i="9"/>
  <c r="E37" i="9"/>
  <c r="E48" i="9"/>
  <c r="E56" i="9"/>
  <c r="E22" i="9"/>
  <c r="E30" i="9"/>
  <c r="E43" i="9"/>
  <c r="E44" i="9"/>
  <c r="E45" i="9"/>
  <c r="E46" i="9"/>
  <c r="E18" i="10"/>
  <c r="E28" i="10"/>
  <c r="E21" i="10"/>
  <c r="E29" i="10"/>
  <c r="E22" i="10"/>
  <c r="E30" i="10"/>
  <c r="E23" i="10"/>
  <c r="E31" i="10"/>
  <c r="E24" i="10"/>
  <c r="E25" i="10"/>
  <c r="E33" i="10"/>
  <c r="E26" i="10"/>
  <c r="E20" i="10"/>
  <c r="E27" i="10"/>
  <c r="E18" i="12"/>
  <c r="E24" i="12"/>
  <c r="E23" i="12"/>
  <c r="E246" i="22" s="1"/>
  <c r="E151" i="25" s="1"/>
  <c r="E25" i="12"/>
  <c r="E26" i="12"/>
  <c r="E31" i="12"/>
  <c r="E27" i="12"/>
  <c r="E29" i="12"/>
  <c r="E28" i="12"/>
  <c r="E30" i="12"/>
  <c r="E25" i="11"/>
  <c r="E33" i="11"/>
  <c r="E24" i="11"/>
  <c r="E34" i="11"/>
  <c r="E28" i="11"/>
  <c r="E36" i="11"/>
  <c r="E21" i="11"/>
  <c r="E22" i="11"/>
  <c r="E32" i="11"/>
  <c r="E26" i="11"/>
  <c r="E27" i="11"/>
  <c r="E35" i="11"/>
  <c r="E37" i="11"/>
  <c r="E31" i="11"/>
  <c r="E23" i="11"/>
  <c r="E29" i="11"/>
  <c r="E30" i="11"/>
  <c r="E18" i="11"/>
  <c r="E20" i="11"/>
  <c r="N302" i="20"/>
  <c r="T302" i="20" s="1"/>
  <c r="V302" i="20" s="1"/>
  <c r="N296" i="20"/>
  <c r="T296" i="20" s="1"/>
  <c r="N251" i="20"/>
  <c r="T251" i="20" s="1"/>
  <c r="V251" i="20" s="1"/>
  <c r="N252" i="20"/>
  <c r="T252" i="20" s="1"/>
  <c r="V252" i="20" s="1"/>
  <c r="N268" i="20"/>
  <c r="T268" i="20" s="1"/>
  <c r="V268" i="20" s="1"/>
  <c r="N239" i="20"/>
  <c r="T239" i="20" s="1"/>
  <c r="V239" i="20" s="1"/>
  <c r="N299" i="20"/>
  <c r="T299" i="20" s="1"/>
  <c r="V299" i="20" s="1"/>
  <c r="N281" i="20"/>
  <c r="T281" i="20" s="1"/>
  <c r="V281" i="20" s="1"/>
  <c r="N285" i="20"/>
  <c r="T285" i="20" s="1"/>
  <c r="V285" i="20" s="1"/>
  <c r="N240" i="20"/>
  <c r="T240" i="20" s="1"/>
  <c r="V240" i="20" s="1"/>
  <c r="N244" i="20"/>
  <c r="T244" i="20" s="1"/>
  <c r="N248" i="20"/>
  <c r="T248" i="20" s="1"/>
  <c r="V248" i="20" s="1"/>
  <c r="N243" i="20"/>
  <c r="T243" i="20" s="1"/>
  <c r="N247" i="20"/>
  <c r="T247" i="20" s="1"/>
  <c r="V247" i="20" s="1"/>
  <c r="N255" i="20"/>
  <c r="T255" i="20" s="1"/>
  <c r="N264" i="20"/>
  <c r="T264" i="20" s="1"/>
  <c r="V264" i="20" s="1"/>
  <c r="N272" i="20"/>
  <c r="T272" i="20" s="1"/>
  <c r="N276" i="20"/>
  <c r="T276" i="20" s="1"/>
  <c r="V276" i="20" s="1"/>
  <c r="N253" i="20"/>
  <c r="T253" i="20" s="1"/>
  <c r="N262" i="20"/>
  <c r="T262" i="20" s="1"/>
  <c r="V262" i="20" s="1"/>
  <c r="N266" i="20"/>
  <c r="T266" i="20" s="1"/>
  <c r="N270" i="20"/>
  <c r="T270" i="20" s="1"/>
  <c r="V270" i="20" s="1"/>
  <c r="N284" i="20"/>
  <c r="T284" i="20" s="1"/>
  <c r="V284" i="20" s="1"/>
  <c r="N298" i="20"/>
  <c r="T298" i="20" s="1"/>
  <c r="V298" i="20" s="1"/>
  <c r="N245" i="20"/>
  <c r="T245" i="20" s="1"/>
  <c r="V245" i="20" s="1"/>
  <c r="N249" i="20"/>
  <c r="T249" i="20" s="1"/>
  <c r="N257" i="20"/>
  <c r="T257" i="20" s="1"/>
  <c r="V257" i="20" s="1"/>
  <c r="N280" i="20"/>
  <c r="T280" i="20" s="1"/>
  <c r="V280" i="20" s="1"/>
  <c r="N241" i="20"/>
  <c r="T241" i="20" s="1"/>
  <c r="V241" i="20" s="1"/>
  <c r="N274" i="20"/>
  <c r="T274" i="20" s="1"/>
  <c r="V274" i="20" s="1"/>
  <c r="N278" i="20"/>
  <c r="T278" i="20" s="1"/>
  <c r="V278" i="20" s="1"/>
  <c r="N288" i="20"/>
  <c r="T288" i="20" s="1"/>
  <c r="V288" i="20" s="1"/>
  <c r="N300" i="20"/>
  <c r="T300" i="20" s="1"/>
  <c r="V300" i="20" s="1"/>
  <c r="N282" i="20"/>
  <c r="T282" i="20" s="1"/>
  <c r="V282" i="20" s="1"/>
  <c r="N286" i="20"/>
  <c r="T286" i="20" s="1"/>
  <c r="V286" i="20" s="1"/>
  <c r="N328" i="20"/>
  <c r="N324" i="20"/>
  <c r="N332" i="20"/>
  <c r="N316" i="20"/>
  <c r="N308" i="20"/>
  <c r="N320" i="20"/>
  <c r="N304" i="20"/>
  <c r="N303" i="20"/>
  <c r="N307" i="20"/>
  <c r="N311" i="20"/>
  <c r="N315" i="20"/>
  <c r="N319" i="20"/>
  <c r="N323" i="20"/>
  <c r="N327" i="20"/>
  <c r="N331" i="20"/>
  <c r="N56" i="20"/>
  <c r="T56" i="20" s="1"/>
  <c r="N57" i="20"/>
  <c r="N79" i="20"/>
  <c r="T79" i="20" s="1"/>
  <c r="N129" i="20"/>
  <c r="N94" i="20"/>
  <c r="T94" i="20" s="1"/>
  <c r="N114" i="20"/>
  <c r="T114" i="20" s="1"/>
  <c r="N87" i="20"/>
  <c r="N80" i="20"/>
  <c r="N89" i="20"/>
  <c r="N82" i="20"/>
  <c r="T82" i="20" s="1"/>
  <c r="N131" i="20"/>
  <c r="N112" i="20"/>
  <c r="N81" i="20"/>
  <c r="T81" i="20" s="1"/>
  <c r="N130" i="20"/>
  <c r="N88" i="20"/>
  <c r="N93" i="20"/>
  <c r="T93" i="20" s="1"/>
  <c r="N86" i="20"/>
  <c r="N78" i="20"/>
  <c r="T78" i="20" s="1"/>
  <c r="N120" i="20"/>
  <c r="N92" i="20"/>
  <c r="N85" i="20"/>
  <c r="N91" i="20"/>
  <c r="T91" i="20" s="1"/>
  <c r="N84" i="20"/>
  <c r="T84" i="20" s="1"/>
  <c r="N90" i="20"/>
  <c r="T90" i="20" s="1"/>
  <c r="N83" i="20"/>
  <c r="T83" i="20" s="1"/>
  <c r="N140" i="20"/>
  <c r="T140" i="20" s="1"/>
  <c r="N76" i="20"/>
  <c r="T76" i="20" s="1"/>
  <c r="N75" i="20"/>
  <c r="N146" i="20"/>
  <c r="N68" i="20"/>
  <c r="N145" i="20"/>
  <c r="N67" i="20"/>
  <c r="T67" i="20" s="1"/>
  <c r="N144" i="20"/>
  <c r="N66" i="20"/>
  <c r="N142" i="20"/>
  <c r="N137" i="20"/>
  <c r="N72" i="20"/>
  <c r="T72" i="20" s="1"/>
  <c r="N64" i="20"/>
  <c r="T64" i="20" s="1"/>
  <c r="N136" i="20"/>
  <c r="N71" i="20"/>
  <c r="T71" i="20" s="1"/>
  <c r="N181" i="20"/>
  <c r="N74" i="20"/>
  <c r="N143" i="20"/>
  <c r="T143" i="20" s="1"/>
  <c r="N65" i="20"/>
  <c r="N180" i="20"/>
  <c r="N138" i="20"/>
  <c r="N73" i="20"/>
  <c r="N43" i="20"/>
  <c r="N189" i="20"/>
  <c r="N228" i="20"/>
  <c r="N225" i="20"/>
  <c r="T225" i="20" s="1"/>
  <c r="N63" i="20"/>
  <c r="T63" i="20" s="1"/>
  <c r="N196" i="20"/>
  <c r="N221" i="20"/>
  <c r="N193" i="20"/>
  <c r="N223" i="20"/>
  <c r="N59" i="20"/>
  <c r="T59" i="20" s="1"/>
  <c r="N213" i="20"/>
  <c r="N235" i="20"/>
  <c r="N236" i="20"/>
  <c r="N201" i="20"/>
  <c r="N204" i="20"/>
  <c r="N209" i="20"/>
  <c r="N192" i="20"/>
  <c r="N197" i="20"/>
  <c r="N212" i="20"/>
  <c r="N217" i="20"/>
  <c r="T217" i="20" s="1"/>
  <c r="N224" i="20"/>
  <c r="T224" i="20" s="1"/>
  <c r="N227" i="20"/>
  <c r="N200" i="20"/>
  <c r="N205" i="20"/>
  <c r="N229" i="20"/>
  <c r="N60" i="20"/>
  <c r="N45" i="20"/>
  <c r="N37" i="20"/>
  <c r="N36" i="20"/>
  <c r="N47" i="20"/>
  <c r="N46" i="20"/>
  <c r="N185" i="20"/>
  <c r="T185" i="20" s="1"/>
  <c r="N155" i="20"/>
  <c r="T155" i="20" s="1"/>
  <c r="N159" i="20"/>
  <c r="N184" i="20"/>
  <c r="N156" i="20"/>
  <c r="N160" i="20"/>
  <c r="T160" i="20" s="1"/>
  <c r="N148" i="20"/>
  <c r="N152" i="20"/>
  <c r="T152" i="20" s="1"/>
  <c r="N117" i="20"/>
  <c r="N113" i="20"/>
  <c r="T113" i="20" s="1"/>
  <c r="N126" i="20"/>
  <c r="N124" i="20"/>
  <c r="N118" i="20"/>
  <c r="T118" i="20" s="1"/>
  <c r="N128" i="20"/>
  <c r="N116" i="20"/>
  <c r="T116" i="20" s="1"/>
  <c r="N125" i="20"/>
  <c r="N122" i="20"/>
  <c r="N134" i="20"/>
  <c r="N132" i="20"/>
  <c r="T132" i="20" s="1"/>
  <c r="N167" i="20"/>
  <c r="T167" i="20" s="1"/>
  <c r="N110" i="20"/>
  <c r="T110" i="20" s="1"/>
  <c r="N111" i="20"/>
  <c r="N174" i="20"/>
  <c r="N106" i="20"/>
  <c r="N163" i="20"/>
  <c r="N175" i="20"/>
  <c r="N168" i="20"/>
  <c r="N104" i="20"/>
  <c r="N161" i="20"/>
  <c r="T161" i="20" s="1"/>
  <c r="N19" i="20"/>
  <c r="N18" i="20"/>
  <c r="N17" i="20"/>
  <c r="N16" i="20"/>
  <c r="T16" i="20" s="1"/>
  <c r="V16" i="20" s="1"/>
  <c r="N23" i="20"/>
  <c r="N15" i="20"/>
  <c r="T15" i="20" s="1"/>
  <c r="N14" i="20"/>
  <c r="T14" i="20" s="1"/>
  <c r="V14" i="20" s="1"/>
  <c r="E172" i="25" l="1"/>
  <c r="E205" i="25"/>
  <c r="E203" i="25"/>
  <c r="E128" i="25"/>
  <c r="E146" i="25"/>
  <c r="E129" i="25"/>
  <c r="E202" i="25"/>
  <c r="E201" i="25"/>
  <c r="E139" i="25"/>
  <c r="E131" i="25"/>
  <c r="E204" i="25"/>
  <c r="E133" i="25"/>
  <c r="E200" i="25"/>
  <c r="E126" i="25"/>
  <c r="E206" i="25"/>
  <c r="E137" i="25"/>
  <c r="E138" i="25"/>
  <c r="E132" i="25"/>
  <c r="F20" i="14"/>
  <c r="E171" i="25"/>
  <c r="E140" i="25"/>
  <c r="E127" i="25"/>
  <c r="E141" i="25"/>
  <c r="E147" i="25"/>
  <c r="E148" i="25"/>
  <c r="E149" i="25"/>
  <c r="D344" i="22"/>
  <c r="E344" i="22"/>
  <c r="D345" i="22"/>
  <c r="E345" i="22"/>
  <c r="D343" i="22"/>
  <c r="E343" i="22"/>
  <c r="D346" i="22"/>
  <c r="E346" i="22"/>
  <c r="D342" i="22"/>
  <c r="E342" i="22"/>
  <c r="D341" i="22"/>
  <c r="E341" i="22"/>
  <c r="D336" i="22"/>
  <c r="E336" i="22"/>
  <c r="D339" i="22"/>
  <c r="E339" i="22"/>
  <c r="D335" i="22"/>
  <c r="E335" i="22"/>
  <c r="D333" i="22"/>
  <c r="E333" i="22"/>
  <c r="D337" i="22"/>
  <c r="E337" i="22"/>
  <c r="D338" i="22"/>
  <c r="E338" i="22"/>
  <c r="D334" i="22"/>
  <c r="E334" i="22"/>
  <c r="D332" i="22"/>
  <c r="E332" i="22"/>
  <c r="D328" i="22"/>
  <c r="E328" i="22"/>
  <c r="D327" i="22"/>
  <c r="E327" i="22"/>
  <c r="D330" i="22"/>
  <c r="E330" i="22"/>
  <c r="D329" i="22"/>
  <c r="E329" i="22"/>
  <c r="D326" i="22"/>
  <c r="E326" i="22"/>
  <c r="D321" i="22"/>
  <c r="E321" i="22"/>
  <c r="D324" i="22"/>
  <c r="E324" i="22"/>
  <c r="D323" i="22"/>
  <c r="E323" i="22"/>
  <c r="D322" i="22"/>
  <c r="E322" i="22"/>
  <c r="D320" i="22"/>
  <c r="E320" i="22"/>
  <c r="D316" i="22"/>
  <c r="E316" i="22"/>
  <c r="D315" i="22"/>
  <c r="E315" i="22"/>
  <c r="D318" i="22"/>
  <c r="E318" i="22"/>
  <c r="D317" i="22"/>
  <c r="E317" i="22"/>
  <c r="D314" i="22"/>
  <c r="E314" i="22"/>
  <c r="D312" i="22"/>
  <c r="E312" i="22"/>
  <c r="D311" i="22"/>
  <c r="E311" i="22"/>
  <c r="D303" i="22"/>
  <c r="E303" i="22"/>
  <c r="D308" i="22"/>
  <c r="E308" i="22"/>
  <c r="D302" i="22"/>
  <c r="E302" i="22"/>
  <c r="D305" i="22"/>
  <c r="E305" i="22"/>
  <c r="D309" i="22"/>
  <c r="E309" i="22"/>
  <c r="D304" i="22"/>
  <c r="E304" i="22"/>
  <c r="D301" i="22"/>
  <c r="E301" i="22"/>
  <c r="D306" i="22"/>
  <c r="E306" i="22"/>
  <c r="D307" i="22"/>
  <c r="E307" i="22"/>
  <c r="D300" i="22"/>
  <c r="E300" i="22"/>
  <c r="D297" i="22"/>
  <c r="D258" i="25" s="1"/>
  <c r="E297" i="22"/>
  <c r="E258" i="25" s="1"/>
  <c r="D295" i="22"/>
  <c r="D256" i="25" s="1"/>
  <c r="E295" i="22"/>
  <c r="E256" i="25" s="1"/>
  <c r="D294" i="22"/>
  <c r="D255" i="25" s="1"/>
  <c r="E294" i="22"/>
  <c r="E255" i="25" s="1"/>
  <c r="D288" i="22"/>
  <c r="D249" i="25" s="1"/>
  <c r="E288" i="22"/>
  <c r="E249" i="25" s="1"/>
  <c r="D298" i="22"/>
  <c r="D259" i="25" s="1"/>
  <c r="E298" i="22"/>
  <c r="E259" i="25" s="1"/>
  <c r="D293" i="22"/>
  <c r="D254" i="25" s="1"/>
  <c r="E293" i="22"/>
  <c r="E254" i="25" s="1"/>
  <c r="D290" i="22"/>
  <c r="D251" i="25" s="1"/>
  <c r="E290" i="22"/>
  <c r="E251" i="25" s="1"/>
  <c r="D292" i="22"/>
  <c r="D253" i="25" s="1"/>
  <c r="E292" i="22"/>
  <c r="E253" i="25" s="1"/>
  <c r="D291" i="22"/>
  <c r="D252" i="25" s="1"/>
  <c r="E291" i="22"/>
  <c r="E252" i="25" s="1"/>
  <c r="D289" i="22"/>
  <c r="D250" i="25" s="1"/>
  <c r="E289" i="22"/>
  <c r="E250" i="25" s="1"/>
  <c r="D296" i="22"/>
  <c r="D257" i="25" s="1"/>
  <c r="E296" i="22"/>
  <c r="E257" i="25" s="1"/>
  <c r="D287" i="22"/>
  <c r="D248" i="25" s="1"/>
  <c r="E287" i="22"/>
  <c r="E248" i="25" s="1"/>
  <c r="D265" i="22"/>
  <c r="D226" i="25" s="1"/>
  <c r="E265" i="22"/>
  <c r="E226" i="25" s="1"/>
  <c r="D283" i="22"/>
  <c r="D244" i="25" s="1"/>
  <c r="E283" i="22"/>
  <c r="E244" i="25" s="1"/>
  <c r="D285" i="22"/>
  <c r="D246" i="25" s="1"/>
  <c r="E285" i="22"/>
  <c r="E246" i="25" s="1"/>
  <c r="D277" i="22"/>
  <c r="D238" i="25" s="1"/>
  <c r="E277" i="22"/>
  <c r="E238" i="25" s="1"/>
  <c r="D284" i="22"/>
  <c r="D245" i="25" s="1"/>
  <c r="E284" i="22"/>
  <c r="E245" i="25" s="1"/>
  <c r="D282" i="22"/>
  <c r="D243" i="25" s="1"/>
  <c r="E282" i="22"/>
  <c r="E243" i="25" s="1"/>
  <c r="D261" i="22"/>
  <c r="D222" i="25" s="1"/>
  <c r="E261" i="22"/>
  <c r="E222" i="25" s="1"/>
  <c r="D276" i="22"/>
  <c r="D237" i="25" s="1"/>
  <c r="E276" i="22"/>
  <c r="E237" i="25" s="1"/>
  <c r="D274" i="22"/>
  <c r="D235" i="25" s="1"/>
  <c r="E274" i="22"/>
  <c r="E235" i="25" s="1"/>
  <c r="D268" i="22"/>
  <c r="D229" i="25" s="1"/>
  <c r="E268" i="22"/>
  <c r="E229" i="25" s="1"/>
  <c r="D260" i="22"/>
  <c r="D221" i="25" s="1"/>
  <c r="E260" i="22"/>
  <c r="E221" i="25" s="1"/>
  <c r="D271" i="22"/>
  <c r="D232" i="25" s="1"/>
  <c r="E271" i="22"/>
  <c r="E232" i="25" s="1"/>
  <c r="D266" i="22"/>
  <c r="D227" i="25" s="1"/>
  <c r="E266" i="22"/>
  <c r="E227" i="25" s="1"/>
  <c r="D275" i="22"/>
  <c r="D236" i="25" s="1"/>
  <c r="E275" i="22"/>
  <c r="E236" i="25" s="1"/>
  <c r="D267" i="22"/>
  <c r="D228" i="25" s="1"/>
  <c r="E267" i="22"/>
  <c r="E228" i="25" s="1"/>
  <c r="D278" i="22"/>
  <c r="D239" i="25" s="1"/>
  <c r="E278" i="22"/>
  <c r="E239" i="25" s="1"/>
  <c r="D258" i="22"/>
  <c r="D219" i="25" s="1"/>
  <c r="E258" i="22"/>
  <c r="E219" i="25" s="1"/>
  <c r="D259" i="22"/>
  <c r="D220" i="25" s="1"/>
  <c r="E259" i="22"/>
  <c r="E220" i="25" s="1"/>
  <c r="D280" i="22"/>
  <c r="D241" i="25" s="1"/>
  <c r="E280" i="22"/>
  <c r="E241" i="25" s="1"/>
  <c r="D262" i="22"/>
  <c r="D223" i="25" s="1"/>
  <c r="E262" i="22"/>
  <c r="E223" i="25" s="1"/>
  <c r="D279" i="22"/>
  <c r="D240" i="25" s="1"/>
  <c r="E279" i="22"/>
  <c r="E240" i="25" s="1"/>
  <c r="D281" i="22"/>
  <c r="D242" i="25" s="1"/>
  <c r="E281" i="22"/>
  <c r="E242" i="25" s="1"/>
  <c r="D272" i="22"/>
  <c r="D233" i="25" s="1"/>
  <c r="E272" i="22"/>
  <c r="E233" i="25" s="1"/>
  <c r="D270" i="22"/>
  <c r="D231" i="25" s="1"/>
  <c r="E270" i="22"/>
  <c r="E231" i="25" s="1"/>
  <c r="D269" i="22"/>
  <c r="D230" i="25" s="1"/>
  <c r="E269" i="22"/>
  <c r="E230" i="25" s="1"/>
  <c r="D263" i="22"/>
  <c r="D224" i="25" s="1"/>
  <c r="E263" i="22"/>
  <c r="E224" i="25" s="1"/>
  <c r="D273" i="22"/>
  <c r="D234" i="25" s="1"/>
  <c r="E273" i="22"/>
  <c r="E234" i="25" s="1"/>
  <c r="D264" i="22"/>
  <c r="D225" i="25" s="1"/>
  <c r="E264" i="22"/>
  <c r="E225" i="25" s="1"/>
  <c r="D257" i="22"/>
  <c r="D218" i="25" s="1"/>
  <c r="E257" i="22"/>
  <c r="E218" i="25" s="1"/>
  <c r="D247" i="22"/>
  <c r="D152" i="25" s="1"/>
  <c r="E247" i="22"/>
  <c r="E152" i="25" s="1"/>
  <c r="D254" i="22"/>
  <c r="D158" i="25" s="1"/>
  <c r="E254" i="22"/>
  <c r="E158" i="25" s="1"/>
  <c r="D252" i="22"/>
  <c r="D156" i="25" s="1"/>
  <c r="E252" i="22"/>
  <c r="E156" i="25" s="1"/>
  <c r="D253" i="22"/>
  <c r="D157" i="25" s="1"/>
  <c r="E253" i="22"/>
  <c r="E157" i="25" s="1"/>
  <c r="D251" i="22"/>
  <c r="D155" i="25" s="1"/>
  <c r="E251" i="22"/>
  <c r="E155" i="25" s="1"/>
  <c r="E248" i="22"/>
  <c r="E153" i="25" s="1"/>
  <c r="E249" i="22"/>
  <c r="D255" i="22"/>
  <c r="D159" i="25" s="1"/>
  <c r="E255" i="22"/>
  <c r="E159" i="25" s="1"/>
  <c r="D250" i="22"/>
  <c r="D154" i="25" s="1"/>
  <c r="E250" i="22"/>
  <c r="E154" i="25" s="1"/>
  <c r="D237" i="22"/>
  <c r="E237" i="22"/>
  <c r="D239" i="22"/>
  <c r="E239" i="22"/>
  <c r="D232" i="22"/>
  <c r="E232" i="22"/>
  <c r="D236" i="22"/>
  <c r="E236" i="22"/>
  <c r="D229" i="22"/>
  <c r="E229" i="22"/>
  <c r="D230" i="22"/>
  <c r="E230" i="22"/>
  <c r="D228" i="22"/>
  <c r="E228" i="22"/>
  <c r="D238" i="22"/>
  <c r="E238" i="22"/>
  <c r="D243" i="22"/>
  <c r="E243" i="22"/>
  <c r="D240" i="22"/>
  <c r="E240" i="22"/>
  <c r="D244" i="22"/>
  <c r="E244" i="22"/>
  <c r="D242" i="22"/>
  <c r="E242" i="22"/>
  <c r="D241" i="22"/>
  <c r="E241" i="22"/>
  <c r="D233" i="22"/>
  <c r="D144" i="25" s="1"/>
  <c r="E233" i="22"/>
  <c r="E144" i="25" s="1"/>
  <c r="D235" i="22"/>
  <c r="E235" i="22"/>
  <c r="D234" i="22"/>
  <c r="E234" i="22"/>
  <c r="D231" i="22"/>
  <c r="D143" i="25" s="1"/>
  <c r="E231" i="22"/>
  <c r="E143" i="25" s="1"/>
  <c r="D227" i="22"/>
  <c r="E227" i="22"/>
  <c r="D225" i="22"/>
  <c r="D216" i="25" s="1"/>
  <c r="E225" i="22"/>
  <c r="E216" i="25" s="1"/>
  <c r="D223" i="22"/>
  <c r="D215" i="25" s="1"/>
  <c r="E223" i="22"/>
  <c r="E215" i="25" s="1"/>
  <c r="D222" i="22"/>
  <c r="E222" i="22"/>
  <c r="D224" i="22"/>
  <c r="E224" i="22"/>
  <c r="D221" i="22"/>
  <c r="D214" i="25" s="1"/>
  <c r="E221" i="22"/>
  <c r="E214" i="25" s="1"/>
  <c r="D220" i="22"/>
  <c r="D213" i="25" s="1"/>
  <c r="E220" i="22"/>
  <c r="E213" i="25" s="1"/>
  <c r="D216" i="22"/>
  <c r="D209" i="25" s="1"/>
  <c r="E216" i="22"/>
  <c r="E209" i="25" s="1"/>
  <c r="D217" i="22"/>
  <c r="D210" i="25" s="1"/>
  <c r="E217" i="22"/>
  <c r="E210" i="25" s="1"/>
  <c r="D218" i="22"/>
  <c r="D211" i="25" s="1"/>
  <c r="E218" i="22"/>
  <c r="E211" i="25" s="1"/>
  <c r="D215" i="22"/>
  <c r="D208" i="25" s="1"/>
  <c r="E215" i="22"/>
  <c r="E208" i="25" s="1"/>
  <c r="D213" i="22"/>
  <c r="E213" i="22"/>
  <c r="D204" i="22"/>
  <c r="D194" i="25" s="1"/>
  <c r="E204" i="22"/>
  <c r="E194" i="25" s="1"/>
  <c r="D205" i="22"/>
  <c r="D195" i="25" s="1"/>
  <c r="E205" i="22"/>
  <c r="E195" i="25" s="1"/>
  <c r="D212" i="22"/>
  <c r="E212" i="22"/>
  <c r="D210" i="22"/>
  <c r="E210" i="22"/>
  <c r="D209" i="22"/>
  <c r="E209" i="22"/>
  <c r="D207" i="22"/>
  <c r="D197" i="25" s="1"/>
  <c r="E207" i="22"/>
  <c r="E197" i="25" s="1"/>
  <c r="D206" i="22"/>
  <c r="D196" i="25" s="1"/>
  <c r="E206" i="22"/>
  <c r="E196" i="25" s="1"/>
  <c r="D208" i="22"/>
  <c r="E208" i="22"/>
  <c r="D211" i="22"/>
  <c r="D198" i="25" s="1"/>
  <c r="E211" i="22"/>
  <c r="E198" i="25" s="1"/>
  <c r="D203" i="22"/>
  <c r="D193" i="25" s="1"/>
  <c r="E203" i="22"/>
  <c r="E193" i="25" s="1"/>
  <c r="D175" i="22"/>
  <c r="E175" i="22"/>
  <c r="D176" i="22"/>
  <c r="E176" i="22"/>
  <c r="D172" i="22"/>
  <c r="D162" i="25" s="1"/>
  <c r="E172" i="22"/>
  <c r="E162" i="25" s="1"/>
  <c r="D183" i="22"/>
  <c r="E183" i="22"/>
  <c r="D179" i="22"/>
  <c r="E179" i="22"/>
  <c r="D182" i="22"/>
  <c r="E182" i="22"/>
  <c r="D178" i="22"/>
  <c r="D163" i="25" s="1"/>
  <c r="E178" i="22"/>
  <c r="E163" i="25" s="1"/>
  <c r="D174" i="22"/>
  <c r="E174" i="22"/>
  <c r="D181" i="22"/>
  <c r="E181" i="22"/>
  <c r="D177" i="22"/>
  <c r="E177" i="22"/>
  <c r="D173" i="22"/>
  <c r="E173" i="22"/>
  <c r="D184" i="22"/>
  <c r="E184" i="22"/>
  <c r="D180" i="22"/>
  <c r="E180" i="22"/>
  <c r="D171" i="22"/>
  <c r="D161" i="25" s="1"/>
  <c r="E171" i="22"/>
  <c r="E161" i="25" s="1"/>
  <c r="D166" i="22"/>
  <c r="E166" i="22"/>
  <c r="D156" i="22"/>
  <c r="D180" i="25" s="1"/>
  <c r="E156" i="22"/>
  <c r="E180" i="25" s="1"/>
  <c r="D162" i="22"/>
  <c r="E162" i="22"/>
  <c r="D160" i="22"/>
  <c r="D184" i="25" s="1"/>
  <c r="E160" i="22"/>
  <c r="E184" i="25" s="1"/>
  <c r="D158" i="22"/>
  <c r="D182" i="25" s="1"/>
  <c r="E158" i="22"/>
  <c r="E182" i="25" s="1"/>
  <c r="D148" i="22"/>
  <c r="E148" i="22"/>
  <c r="D154" i="22"/>
  <c r="D178" i="25" s="1"/>
  <c r="E154" i="22"/>
  <c r="E178" i="25" s="1"/>
  <c r="D150" i="22"/>
  <c r="D175" i="25" s="1"/>
  <c r="E150" i="22"/>
  <c r="E175" i="25" s="1"/>
  <c r="D164" i="22"/>
  <c r="E164" i="22"/>
  <c r="D149" i="22"/>
  <c r="D174" i="25" s="1"/>
  <c r="E149" i="22"/>
  <c r="E174" i="25" s="1"/>
  <c r="D153" i="22"/>
  <c r="D177" i="25" s="1"/>
  <c r="E153" i="22"/>
  <c r="E177" i="25" s="1"/>
  <c r="D152" i="22"/>
  <c r="D176" i="25" s="1"/>
  <c r="E152" i="22"/>
  <c r="E176" i="25" s="1"/>
  <c r="D169" i="22"/>
  <c r="D188" i="25" s="1"/>
  <c r="E169" i="22"/>
  <c r="E188" i="25" s="1"/>
  <c r="D167" i="22"/>
  <c r="E167" i="22"/>
  <c r="D157" i="22"/>
  <c r="D181" i="25" s="1"/>
  <c r="E157" i="22"/>
  <c r="E181" i="25" s="1"/>
  <c r="D151" i="22"/>
  <c r="E151" i="22"/>
  <c r="D163" i="22"/>
  <c r="D186" i="25" s="1"/>
  <c r="E163" i="22"/>
  <c r="E186" i="25" s="1"/>
  <c r="D161" i="22"/>
  <c r="D185" i="25" s="1"/>
  <c r="E161" i="22"/>
  <c r="E185" i="25" s="1"/>
  <c r="D159" i="22"/>
  <c r="D183" i="25" s="1"/>
  <c r="E159" i="22"/>
  <c r="E183" i="25" s="1"/>
  <c r="D168" i="22"/>
  <c r="D187" i="25" s="1"/>
  <c r="E168" i="22"/>
  <c r="E187" i="25" s="1"/>
  <c r="D155" i="22"/>
  <c r="D179" i="25" s="1"/>
  <c r="E155" i="22"/>
  <c r="E179" i="25" s="1"/>
  <c r="D165" i="22"/>
  <c r="E165" i="22"/>
  <c r="D147" i="22"/>
  <c r="E147" i="22"/>
  <c r="D138" i="22"/>
  <c r="E138" i="22"/>
  <c r="D142" i="22"/>
  <c r="E142" i="22"/>
  <c r="D130" i="22"/>
  <c r="E130" i="22"/>
  <c r="D134" i="22"/>
  <c r="E134" i="22"/>
  <c r="D132" i="22"/>
  <c r="E132" i="22"/>
  <c r="D145" i="22"/>
  <c r="E145" i="22"/>
  <c r="D143" i="22"/>
  <c r="E143" i="22"/>
  <c r="D141" i="22"/>
  <c r="E141" i="22"/>
  <c r="D137" i="22"/>
  <c r="E137" i="22"/>
  <c r="D135" i="22"/>
  <c r="E135" i="22"/>
  <c r="D133" i="22"/>
  <c r="E133" i="22"/>
  <c r="D139" i="22"/>
  <c r="D167" i="25" s="1"/>
  <c r="E139" i="22"/>
  <c r="E167" i="25" s="1"/>
  <c r="D136" i="22"/>
  <c r="E136" i="22"/>
  <c r="D129" i="22"/>
  <c r="D166" i="25" s="1"/>
  <c r="E129" i="22"/>
  <c r="E166" i="25" s="1"/>
  <c r="D131" i="22"/>
  <c r="E131" i="22"/>
  <c r="D140" i="22"/>
  <c r="D168" i="25" s="1"/>
  <c r="E140" i="22"/>
  <c r="E168" i="25" s="1"/>
  <c r="D128" i="22"/>
  <c r="D165" i="25" s="1"/>
  <c r="E128" i="22"/>
  <c r="E165" i="25" s="1"/>
  <c r="D248" i="22"/>
  <c r="D153" i="25" s="1"/>
  <c r="D249" i="22"/>
  <c r="D246" i="22"/>
  <c r="D151" i="25" s="1"/>
  <c r="S117" i="20"/>
  <c r="T117" i="20"/>
  <c r="S193" i="20"/>
  <c r="T193" i="20"/>
  <c r="V193" i="20" s="1"/>
  <c r="S86" i="20"/>
  <c r="T86" i="20"/>
  <c r="S233" i="20"/>
  <c r="T233" i="20"/>
  <c r="V233" i="20" s="1"/>
  <c r="S46" i="20"/>
  <c r="T46" i="20"/>
  <c r="V46" i="20" s="1"/>
  <c r="S221" i="20"/>
  <c r="T221" i="20"/>
  <c r="V221" i="20" s="1"/>
  <c r="S215" i="20"/>
  <c r="T215" i="20"/>
  <c r="S128" i="20"/>
  <c r="T128" i="20"/>
  <c r="V128" i="20" s="1"/>
  <c r="S236" i="20"/>
  <c r="T236" i="20"/>
  <c r="V236" i="20" s="1"/>
  <c r="S85" i="20"/>
  <c r="T85" i="20"/>
  <c r="S45" i="20"/>
  <c r="T45" i="20"/>
  <c r="V45" i="20" s="1"/>
  <c r="S228" i="20"/>
  <c r="T228" i="20"/>
  <c r="V228" i="20" s="1"/>
  <c r="S142" i="20"/>
  <c r="T142" i="20"/>
  <c r="V142" i="20" s="1"/>
  <c r="S168" i="20"/>
  <c r="T168" i="20"/>
  <c r="V168" i="20" s="1"/>
  <c r="S126" i="20"/>
  <c r="T126" i="20"/>
  <c r="V126" i="20" s="1"/>
  <c r="S159" i="20"/>
  <c r="T159" i="20"/>
  <c r="V159" i="20" s="1"/>
  <c r="S60" i="20"/>
  <c r="T60" i="20"/>
  <c r="V60" i="20" s="1"/>
  <c r="S197" i="20"/>
  <c r="T197" i="20"/>
  <c r="V197" i="20" s="1"/>
  <c r="S189" i="20"/>
  <c r="T189" i="20"/>
  <c r="S181" i="20"/>
  <c r="T181" i="20"/>
  <c r="S66" i="20"/>
  <c r="T66" i="20"/>
  <c r="S120" i="20"/>
  <c r="T120" i="20"/>
  <c r="V120" i="20" s="1"/>
  <c r="S112" i="20"/>
  <c r="T112" i="20"/>
  <c r="S129" i="20"/>
  <c r="T129" i="20"/>
  <c r="V129" i="20" s="1"/>
  <c r="S315" i="20"/>
  <c r="T315" i="20"/>
  <c r="S332" i="20"/>
  <c r="T332" i="20"/>
  <c r="V332" i="20" s="1"/>
  <c r="T29" i="20"/>
  <c r="V29" i="20" s="1"/>
  <c r="S54" i="20"/>
  <c r="T54" i="20"/>
  <c r="V54" i="20" s="1"/>
  <c r="S21" i="20"/>
  <c r="T21" i="20"/>
  <c r="V21" i="20" s="1"/>
  <c r="S176" i="20"/>
  <c r="T176" i="20"/>
  <c r="V176" i="20" s="1"/>
  <c r="S205" i="20"/>
  <c r="T205" i="20"/>
  <c r="V205" i="20" s="1"/>
  <c r="T26" i="20"/>
  <c r="S17" i="20"/>
  <c r="T17" i="20"/>
  <c r="V17" i="20" s="1"/>
  <c r="S200" i="20"/>
  <c r="T200" i="20"/>
  <c r="V200" i="20" s="1"/>
  <c r="S145" i="20"/>
  <c r="T145" i="20"/>
  <c r="V145" i="20" s="1"/>
  <c r="S303" i="20"/>
  <c r="T303" i="20"/>
  <c r="V303" i="20" s="1"/>
  <c r="T19" i="20"/>
  <c r="V19" i="20" s="1"/>
  <c r="S36" i="20"/>
  <c r="T36" i="20"/>
  <c r="V36" i="20" s="1"/>
  <c r="S130" i="20"/>
  <c r="T130" i="20"/>
  <c r="V130" i="20" s="1"/>
  <c r="S104" i="20"/>
  <c r="T104" i="20"/>
  <c r="V104" i="20" s="1"/>
  <c r="S184" i="20"/>
  <c r="T184" i="20"/>
  <c r="V184" i="20" s="1"/>
  <c r="S212" i="20"/>
  <c r="T212" i="20"/>
  <c r="V212" i="20" s="1"/>
  <c r="S74" i="20"/>
  <c r="T74" i="20"/>
  <c r="V74" i="20" s="1"/>
  <c r="T23" i="20"/>
  <c r="V23" i="20" s="1"/>
  <c r="S175" i="20"/>
  <c r="T175" i="20"/>
  <c r="V175" i="20" s="1"/>
  <c r="S134" i="20"/>
  <c r="T134" i="20"/>
  <c r="V134" i="20" s="1"/>
  <c r="T229" i="20"/>
  <c r="V229" i="20" s="1"/>
  <c r="S192" i="20"/>
  <c r="T192" i="20"/>
  <c r="V192" i="20" s="1"/>
  <c r="T223" i="20"/>
  <c r="V223" i="20" s="1"/>
  <c r="S43" i="20"/>
  <c r="T43" i="20"/>
  <c r="V43" i="20" s="1"/>
  <c r="S144" i="20"/>
  <c r="T144" i="20"/>
  <c r="S131" i="20"/>
  <c r="T131" i="20"/>
  <c r="V131" i="20" s="1"/>
  <c r="S311" i="20"/>
  <c r="T311" i="20"/>
  <c r="S324" i="20"/>
  <c r="T324" i="20"/>
  <c r="V324" i="20" s="1"/>
  <c r="S232" i="20"/>
  <c r="T232" i="20"/>
  <c r="V232" i="20" s="1"/>
  <c r="S141" i="20"/>
  <c r="T141" i="20"/>
  <c r="V141" i="20" s="1"/>
  <c r="T22" i="20"/>
  <c r="V22" i="20" s="1"/>
  <c r="S55" i="20"/>
  <c r="T55" i="20"/>
  <c r="S122" i="20"/>
  <c r="T122" i="20"/>
  <c r="V122" i="20" s="1"/>
  <c r="S73" i="20"/>
  <c r="T73" i="20"/>
  <c r="V73" i="20" s="1"/>
  <c r="S57" i="20"/>
  <c r="T57" i="20"/>
  <c r="S139" i="20"/>
  <c r="T139" i="20"/>
  <c r="V139" i="20" s="1"/>
  <c r="S106" i="20"/>
  <c r="T106" i="20"/>
  <c r="V106" i="20" s="1"/>
  <c r="T138" i="20"/>
  <c r="V138" i="20" s="1"/>
  <c r="S39" i="20"/>
  <c r="T39" i="20"/>
  <c r="S18" i="20"/>
  <c r="T18" i="20"/>
  <c r="V18" i="20" s="1"/>
  <c r="S174" i="20"/>
  <c r="T174" i="20"/>
  <c r="V174" i="20" s="1"/>
  <c r="S148" i="20"/>
  <c r="T148" i="20"/>
  <c r="V148" i="20" s="1"/>
  <c r="S47" i="20"/>
  <c r="T47" i="20"/>
  <c r="V47" i="20" s="1"/>
  <c r="S227" i="20"/>
  <c r="T227" i="20"/>
  <c r="V227" i="20" s="1"/>
  <c r="S201" i="20"/>
  <c r="T201" i="20"/>
  <c r="V201" i="20" s="1"/>
  <c r="S196" i="20"/>
  <c r="T196" i="20"/>
  <c r="V196" i="20" s="1"/>
  <c r="S180" i="20"/>
  <c r="T180" i="20"/>
  <c r="S68" i="20"/>
  <c r="T68" i="20"/>
  <c r="S88" i="20"/>
  <c r="T88" i="20"/>
  <c r="S80" i="20"/>
  <c r="T80" i="20"/>
  <c r="S331" i="20"/>
  <c r="T331" i="20"/>
  <c r="S304" i="20"/>
  <c r="T304" i="20"/>
  <c r="S20" i="20"/>
  <c r="T20" i="20"/>
  <c r="V20" i="20" s="1"/>
  <c r="S100" i="20"/>
  <c r="T100" i="20"/>
  <c r="V100" i="20" s="1"/>
  <c r="S103" i="20"/>
  <c r="T103" i="20"/>
  <c r="V103" i="20" s="1"/>
  <c r="S169" i="20"/>
  <c r="T169" i="20"/>
  <c r="V169" i="20" s="1"/>
  <c r="S328" i="20"/>
  <c r="T328" i="20"/>
  <c r="S111" i="20"/>
  <c r="T111" i="20"/>
  <c r="V111" i="20" s="1"/>
  <c r="S87" i="20"/>
  <c r="T87" i="20"/>
  <c r="T27" i="20"/>
  <c r="V27" i="20" s="1"/>
  <c r="T28" i="20"/>
  <c r="V28" i="20" s="1"/>
  <c r="T25" i="20"/>
  <c r="S309" i="20"/>
  <c r="T309" i="20"/>
  <c r="S4" i="20"/>
  <c r="T4" i="20"/>
  <c r="V4" i="20" s="1"/>
  <c r="H36" i="21"/>
  <c r="T209" i="20"/>
  <c r="V209" i="20" s="1"/>
  <c r="S204" i="20"/>
  <c r="T204" i="20"/>
  <c r="V204" i="20" s="1"/>
  <c r="S89" i="20"/>
  <c r="T89" i="20"/>
  <c r="V89" i="20" s="1"/>
  <c r="S312" i="20"/>
  <c r="T312" i="20"/>
  <c r="T146" i="20"/>
  <c r="V146" i="20" s="1"/>
  <c r="S327" i="20"/>
  <c r="T327" i="20"/>
  <c r="S40" i="20"/>
  <c r="T40" i="20"/>
  <c r="S156" i="20"/>
  <c r="T156" i="20"/>
  <c r="V156" i="20" s="1"/>
  <c r="S37" i="20"/>
  <c r="T37" i="20"/>
  <c r="S235" i="20"/>
  <c r="T235" i="20"/>
  <c r="V235" i="20" s="1"/>
  <c r="S137" i="20"/>
  <c r="T137" i="20"/>
  <c r="V137" i="20" s="1"/>
  <c r="S75" i="20"/>
  <c r="T75" i="20"/>
  <c r="V75" i="20" s="1"/>
  <c r="S92" i="20"/>
  <c r="T92" i="20"/>
  <c r="V92" i="20" s="1"/>
  <c r="S323" i="20"/>
  <c r="T323" i="20"/>
  <c r="V323" i="20" s="1"/>
  <c r="S308" i="20"/>
  <c r="T308" i="20"/>
  <c r="V308" i="20" s="1"/>
  <c r="S98" i="20"/>
  <c r="T98" i="20"/>
  <c r="S48" i="20"/>
  <c r="T48" i="20"/>
  <c r="V48" i="20" s="1"/>
  <c r="S135" i="20"/>
  <c r="T135" i="20"/>
  <c r="V135" i="20" s="1"/>
  <c r="S314" i="20"/>
  <c r="T314" i="20"/>
  <c r="S163" i="20"/>
  <c r="T163" i="20"/>
  <c r="S136" i="20"/>
  <c r="T136" i="20"/>
  <c r="V136" i="20" s="1"/>
  <c r="S307" i="20"/>
  <c r="T307" i="20"/>
  <c r="S97" i="20"/>
  <c r="T97" i="20"/>
  <c r="S125" i="20"/>
  <c r="T125" i="20"/>
  <c r="V125" i="20" s="1"/>
  <c r="S65" i="20"/>
  <c r="T65" i="20"/>
  <c r="S320" i="20"/>
  <c r="T320" i="20"/>
  <c r="S124" i="20"/>
  <c r="T124" i="20"/>
  <c r="V124" i="20" s="1"/>
  <c r="S213" i="20"/>
  <c r="T213" i="20"/>
  <c r="V213" i="20" s="1"/>
  <c r="S319" i="20"/>
  <c r="T319" i="20"/>
  <c r="S316" i="20"/>
  <c r="T316" i="20"/>
  <c r="S171" i="20"/>
  <c r="T171" i="20"/>
  <c r="V171" i="20" s="1"/>
  <c r="S101" i="20"/>
  <c r="T101" i="20"/>
  <c r="V101" i="20" s="1"/>
  <c r="S41" i="20"/>
  <c r="T41" i="20"/>
  <c r="V41" i="20" s="1"/>
  <c r="K33" i="20"/>
  <c r="N33" i="20"/>
  <c r="K10" i="20"/>
  <c r="N10" i="20"/>
  <c r="K11" i="20"/>
  <c r="N11" i="20"/>
  <c r="K7" i="20"/>
  <c r="N7" i="20"/>
  <c r="K8" i="20"/>
  <c r="N8" i="20"/>
  <c r="K35" i="20"/>
  <c r="N35" i="20"/>
  <c r="K3" i="20"/>
  <c r="O3" i="20" s="1"/>
  <c r="P3" i="20" s="1"/>
  <c r="N3" i="20"/>
  <c r="T3" i="20" s="1"/>
  <c r="K6" i="20"/>
  <c r="N6" i="20"/>
  <c r="K34" i="20"/>
  <c r="N34" i="20"/>
  <c r="K96" i="20"/>
  <c r="O96" i="20" s="1"/>
  <c r="N96" i="20"/>
  <c r="K5" i="20"/>
  <c r="N5" i="20"/>
  <c r="K9" i="20"/>
  <c r="N9" i="20"/>
  <c r="K32" i="20"/>
  <c r="N32" i="20"/>
  <c r="O95" i="20"/>
  <c r="P95" i="20" s="1"/>
  <c r="P294" i="20"/>
  <c r="P295" i="20"/>
  <c r="P293" i="20"/>
  <c r="P290" i="20"/>
  <c r="K167" i="20"/>
  <c r="O167" i="20" s="1"/>
  <c r="K126" i="20"/>
  <c r="O126" i="20" s="1"/>
  <c r="K212" i="20"/>
  <c r="O212" i="20" s="1"/>
  <c r="K75" i="20"/>
  <c r="O75" i="20" s="1"/>
  <c r="K93" i="20"/>
  <c r="K82" i="20"/>
  <c r="O82" i="20" s="1"/>
  <c r="K311" i="20"/>
  <c r="O311" i="20" s="1"/>
  <c r="K274" i="20"/>
  <c r="O274" i="20" s="1"/>
  <c r="K257" i="20"/>
  <c r="O257" i="20" s="1"/>
  <c r="K266" i="20"/>
  <c r="O266" i="20" s="1"/>
  <c r="K276" i="20"/>
  <c r="O276" i="20" s="1"/>
  <c r="K255" i="20"/>
  <c r="O255" i="20" s="1"/>
  <c r="K251" i="20"/>
  <c r="O251" i="20" s="1"/>
  <c r="K103" i="20"/>
  <c r="O103" i="20" s="1"/>
  <c r="K54" i="20"/>
  <c r="O54" i="20" s="1"/>
  <c r="K141" i="20"/>
  <c r="O141" i="20" s="1"/>
  <c r="K41" i="20"/>
  <c r="O41" i="20" s="1"/>
  <c r="K12" i="20"/>
  <c r="K186" i="20"/>
  <c r="O186" i="20" s="1"/>
  <c r="K18" i="20"/>
  <c r="O18" i="20" s="1"/>
  <c r="K47" i="20"/>
  <c r="O47" i="20" s="1"/>
  <c r="K180" i="20"/>
  <c r="O180" i="20" s="1"/>
  <c r="K87" i="20"/>
  <c r="O87" i="20" s="1"/>
  <c r="K23" i="20"/>
  <c r="O23" i="20" s="1"/>
  <c r="K175" i="20"/>
  <c r="O175" i="20" s="1"/>
  <c r="K174" i="20"/>
  <c r="O174" i="20" s="1"/>
  <c r="K184" i="20"/>
  <c r="O184" i="20" s="1"/>
  <c r="K45" i="20"/>
  <c r="O45" i="20" s="1"/>
  <c r="K192" i="20"/>
  <c r="O192" i="20" s="1"/>
  <c r="K209" i="20"/>
  <c r="O209" i="20" s="1"/>
  <c r="K84" i="20"/>
  <c r="K89" i="20"/>
  <c r="O89" i="20" s="1"/>
  <c r="K114" i="20"/>
  <c r="O114" i="20" s="1"/>
  <c r="K331" i="20"/>
  <c r="O331" i="20" s="1"/>
  <c r="K249" i="20"/>
  <c r="O249" i="20" s="1"/>
  <c r="K262" i="20"/>
  <c r="O262" i="20" s="1"/>
  <c r="K248" i="20"/>
  <c r="O248" i="20" s="1"/>
  <c r="K232" i="20"/>
  <c r="O232" i="20" s="1"/>
  <c r="K97" i="20"/>
  <c r="O97" i="20" s="1"/>
  <c r="K25" i="20"/>
  <c r="O25" i="20" s="1"/>
  <c r="K135" i="20"/>
  <c r="K215" i="20"/>
  <c r="O215" i="20" s="1"/>
  <c r="P291" i="20"/>
  <c r="K148" i="20"/>
  <c r="O148" i="20" s="1"/>
  <c r="K91" i="20"/>
  <c r="O91" i="20" s="1"/>
  <c r="K300" i="20"/>
  <c r="O300" i="20" s="1"/>
  <c r="K296" i="20"/>
  <c r="O296" i="20" s="1"/>
  <c r="K53" i="20"/>
  <c r="O53" i="20" s="1"/>
  <c r="K150" i="20"/>
  <c r="O150" i="20" s="1"/>
  <c r="K16" i="20"/>
  <c r="K116" i="20"/>
  <c r="O116" i="20" s="1"/>
  <c r="K155" i="20"/>
  <c r="O155" i="20" s="1"/>
  <c r="K60" i="20"/>
  <c r="O60" i="20" s="1"/>
  <c r="K227" i="20"/>
  <c r="O227" i="20" s="1"/>
  <c r="K204" i="20"/>
  <c r="O204" i="20" s="1"/>
  <c r="K223" i="20"/>
  <c r="O223" i="20" s="1"/>
  <c r="K228" i="20"/>
  <c r="O228" i="20" s="1"/>
  <c r="K143" i="20"/>
  <c r="K71" i="20"/>
  <c r="O71" i="20" s="1"/>
  <c r="K72" i="20"/>
  <c r="O72" i="20" s="1"/>
  <c r="K146" i="20"/>
  <c r="K90" i="20"/>
  <c r="O90" i="20" s="1"/>
  <c r="K81" i="20"/>
  <c r="O81" i="20" s="1"/>
  <c r="K94" i="20"/>
  <c r="O94" i="20" s="1"/>
  <c r="P94" i="20" s="1"/>
  <c r="K79" i="20"/>
  <c r="O79" i="20" s="1"/>
  <c r="K307" i="20"/>
  <c r="O307" i="20" s="1"/>
  <c r="K332" i="20"/>
  <c r="O332" i="20" s="1"/>
  <c r="K282" i="20"/>
  <c r="O282" i="20" s="1"/>
  <c r="K288" i="20"/>
  <c r="O288" i="20" s="1"/>
  <c r="K298" i="20"/>
  <c r="O298" i="20" s="1"/>
  <c r="K247" i="20"/>
  <c r="O247" i="20" s="1"/>
  <c r="K281" i="20"/>
  <c r="O281" i="20" s="1"/>
  <c r="K239" i="20"/>
  <c r="K312" i="20"/>
  <c r="O312" i="20" s="1"/>
  <c r="K169" i="20"/>
  <c r="O169" i="20" s="1"/>
  <c r="K22" i="20"/>
  <c r="O22" i="20" s="1"/>
  <c r="K176" i="20"/>
  <c r="O176" i="20" s="1"/>
  <c r="K19" i="20"/>
  <c r="O19" i="20" s="1"/>
  <c r="K113" i="20"/>
  <c r="O113" i="20" s="1"/>
  <c r="K152" i="20"/>
  <c r="O152" i="20" s="1"/>
  <c r="K181" i="20"/>
  <c r="O181" i="20" s="1"/>
  <c r="K68" i="20"/>
  <c r="O68" i="20" s="1"/>
  <c r="K83" i="20"/>
  <c r="O83" i="20" s="1"/>
  <c r="K316" i="20"/>
  <c r="O316" i="20" s="1"/>
  <c r="K286" i="20"/>
  <c r="O286" i="20" s="1"/>
  <c r="K253" i="20"/>
  <c r="O253" i="20" s="1"/>
  <c r="K240" i="20"/>
  <c r="P240" i="20" s="1"/>
  <c r="K39" i="20"/>
  <c r="O39" i="20" s="1"/>
  <c r="P292" i="20"/>
  <c r="K124" i="20"/>
  <c r="O124" i="20" s="1"/>
  <c r="K163" i="20"/>
  <c r="O163" i="20" s="1"/>
  <c r="K134" i="20"/>
  <c r="O134" i="20" s="1"/>
  <c r="K117" i="20"/>
  <c r="O117" i="20" s="1"/>
  <c r="K160" i="20"/>
  <c r="O160" i="20" s="1"/>
  <c r="K224" i="20"/>
  <c r="O224" i="20" s="1"/>
  <c r="K201" i="20"/>
  <c r="O201" i="20" s="1"/>
  <c r="K235" i="20"/>
  <c r="O235" i="20" s="1"/>
  <c r="K196" i="20"/>
  <c r="O196" i="20" s="1"/>
  <c r="K189" i="20"/>
  <c r="O189" i="20" s="1"/>
  <c r="K136" i="20"/>
  <c r="O136" i="20" s="1"/>
  <c r="K137" i="20"/>
  <c r="O137" i="20" s="1"/>
  <c r="K66" i="20"/>
  <c r="O66" i="20" s="1"/>
  <c r="K67" i="20"/>
  <c r="O67" i="20" s="1"/>
  <c r="K140" i="20"/>
  <c r="K85" i="20"/>
  <c r="O85" i="20" s="1"/>
  <c r="K88" i="20"/>
  <c r="O88" i="20" s="1"/>
  <c r="K56" i="20"/>
  <c r="O56" i="20" s="1"/>
  <c r="K327" i="20"/>
  <c r="O327" i="20" s="1"/>
  <c r="K304" i="20"/>
  <c r="K284" i="20"/>
  <c r="O284" i="20" s="1"/>
  <c r="K243" i="20"/>
  <c r="O243" i="20" s="1"/>
  <c r="K244" i="20"/>
  <c r="O244" i="20" s="1"/>
  <c r="K233" i="20"/>
  <c r="O233" i="20" s="1"/>
  <c r="K171" i="20"/>
  <c r="O171" i="20" s="1"/>
  <c r="K26" i="20"/>
  <c r="O26" i="20" s="1"/>
  <c r="K27" i="20"/>
  <c r="O27" i="20" s="1"/>
  <c r="K29" i="20"/>
  <c r="O29" i="20" s="1"/>
  <c r="K30" i="20"/>
  <c r="O30" i="20" s="1"/>
  <c r="K102" i="20"/>
  <c r="O102" i="20" s="1"/>
  <c r="K21" i="20"/>
  <c r="O21" i="20" s="1"/>
  <c r="K50" i="20"/>
  <c r="O50" i="20" s="1"/>
  <c r="K51" i="20"/>
  <c r="K52" i="20"/>
  <c r="O52" i="20" s="1"/>
  <c r="P52" i="20" s="1"/>
  <c r="K139" i="20"/>
  <c r="K40" i="20"/>
  <c r="O40" i="20" s="1"/>
  <c r="K13" i="20"/>
  <c r="O13" i="20" s="1"/>
  <c r="K309" i="20"/>
  <c r="O309" i="20" s="1"/>
  <c r="K15" i="20"/>
  <c r="O15" i="20" s="1"/>
  <c r="K132" i="20"/>
  <c r="O132" i="20" s="1"/>
  <c r="K118" i="20"/>
  <c r="O118" i="20" s="1"/>
  <c r="K213" i="20"/>
  <c r="O213" i="20" s="1"/>
  <c r="K59" i="20"/>
  <c r="O59" i="20" s="1"/>
  <c r="K65" i="20"/>
  <c r="O65" i="20" s="1"/>
  <c r="K120" i="20"/>
  <c r="O120" i="20" s="1"/>
  <c r="K131" i="20"/>
  <c r="O131" i="20" s="1"/>
  <c r="K319" i="20"/>
  <c r="O319" i="20" s="1"/>
  <c r="K245" i="20"/>
  <c r="O245" i="20" s="1"/>
  <c r="K110" i="20"/>
  <c r="O110" i="20" s="1"/>
  <c r="K122" i="20"/>
  <c r="O122" i="20" s="1"/>
  <c r="K63" i="20"/>
  <c r="O63" i="20" s="1"/>
  <c r="K76" i="20"/>
  <c r="O76" i="20" s="1"/>
  <c r="K92" i="20"/>
  <c r="O92" i="20" s="1"/>
  <c r="K130" i="20"/>
  <c r="O130" i="20" s="1"/>
  <c r="K315" i="20"/>
  <c r="O315" i="20" s="1"/>
  <c r="K320" i="20"/>
  <c r="O320" i="20" s="1"/>
  <c r="K324" i="20"/>
  <c r="O324" i="20" s="1"/>
  <c r="K241" i="20"/>
  <c r="K264" i="20"/>
  <c r="O264" i="20" s="1"/>
  <c r="K14" i="20"/>
  <c r="O14" i="20" s="1"/>
  <c r="K17" i="20"/>
  <c r="O17" i="20" s="1"/>
  <c r="K161" i="20"/>
  <c r="O161" i="20" s="1"/>
  <c r="K128" i="20"/>
  <c r="O128" i="20" s="1"/>
  <c r="K156" i="20"/>
  <c r="O156" i="20" s="1"/>
  <c r="K159" i="20"/>
  <c r="O159" i="20" s="1"/>
  <c r="K200" i="20"/>
  <c r="O200" i="20" s="1"/>
  <c r="K217" i="20"/>
  <c r="O217" i="20" s="1"/>
  <c r="K236" i="20"/>
  <c r="O236" i="20" s="1"/>
  <c r="K138" i="20"/>
  <c r="K74" i="20"/>
  <c r="O74" i="20" s="1"/>
  <c r="K78" i="20"/>
  <c r="O78" i="20" s="1"/>
  <c r="K80" i="20"/>
  <c r="O80" i="20" s="1"/>
  <c r="K57" i="20"/>
  <c r="O57" i="20" s="1"/>
  <c r="K303" i="20"/>
  <c r="K278" i="20"/>
  <c r="O278" i="20" s="1"/>
  <c r="K285" i="20"/>
  <c r="O285" i="20" s="1"/>
  <c r="K299" i="20"/>
  <c r="O299" i="20" s="1"/>
  <c r="K268" i="20"/>
  <c r="O268" i="20" s="1"/>
  <c r="K302" i="20"/>
  <c r="O302" i="20" s="1"/>
  <c r="K31" i="20"/>
  <c r="O31" i="20" s="1"/>
  <c r="K99" i="20"/>
  <c r="O99" i="20" s="1"/>
  <c r="K100" i="20"/>
  <c r="O100" i="20" s="1"/>
  <c r="K101" i="20"/>
  <c r="O101" i="20" s="1"/>
  <c r="K28" i="20"/>
  <c r="O28" i="20" s="1"/>
  <c r="K48" i="20"/>
  <c r="O48" i="20" s="1"/>
  <c r="K314" i="20"/>
  <c r="O314" i="20" s="1"/>
  <c r="K106" i="20"/>
  <c r="O106" i="20" s="1"/>
  <c r="K125" i="20"/>
  <c r="O125" i="20" s="1"/>
  <c r="K36" i="20"/>
  <c r="O36" i="20" s="1"/>
  <c r="K221" i="20"/>
  <c r="O221" i="20" s="1"/>
  <c r="K64" i="20"/>
  <c r="O64" i="20" s="1"/>
  <c r="K129" i="20"/>
  <c r="O129" i="20" s="1"/>
  <c r="K272" i="20"/>
  <c r="O272" i="20" s="1"/>
  <c r="K205" i="20"/>
  <c r="O205" i="20" s="1"/>
  <c r="K193" i="20"/>
  <c r="O193" i="20" s="1"/>
  <c r="K73" i="20"/>
  <c r="O73" i="20" s="1"/>
  <c r="K142" i="20"/>
  <c r="O142" i="20" s="1"/>
  <c r="K145" i="20"/>
  <c r="K112" i="20"/>
  <c r="O112" i="20" s="1"/>
  <c r="K104" i="20"/>
  <c r="O104" i="20" s="1"/>
  <c r="K168" i="20"/>
  <c r="O168" i="20" s="1"/>
  <c r="K111" i="20"/>
  <c r="O111" i="20" s="1"/>
  <c r="K185" i="20"/>
  <c r="O185" i="20" s="1"/>
  <c r="K46" i="20"/>
  <c r="O46" i="20" s="1"/>
  <c r="K37" i="20"/>
  <c r="O37" i="20" s="1"/>
  <c r="K229" i="20"/>
  <c r="O229" i="20" s="1"/>
  <c r="K197" i="20"/>
  <c r="O197" i="20" s="1"/>
  <c r="K225" i="20"/>
  <c r="O225" i="20" s="1"/>
  <c r="K43" i="20"/>
  <c r="O43" i="20" s="1"/>
  <c r="K144" i="20"/>
  <c r="K86" i="20"/>
  <c r="O86" i="20" s="1"/>
  <c r="K323" i="20"/>
  <c r="O323" i="20" s="1"/>
  <c r="K308" i="20"/>
  <c r="O308" i="20" s="1"/>
  <c r="K328" i="20"/>
  <c r="O328" i="20" s="1"/>
  <c r="K280" i="20"/>
  <c r="O280" i="20" s="1"/>
  <c r="K270" i="20"/>
  <c r="O270" i="20" s="1"/>
  <c r="K252" i="20"/>
  <c r="O252" i="20" s="1"/>
  <c r="K20" i="20"/>
  <c r="O20" i="20" s="1"/>
  <c r="K98" i="20"/>
  <c r="O98" i="20" s="1"/>
  <c r="K55" i="20"/>
  <c r="O55" i="20" s="1"/>
  <c r="P238" i="20"/>
  <c r="P216" i="20"/>
  <c r="P208" i="20"/>
  <c r="P289" i="20"/>
  <c r="P105" i="20"/>
  <c r="P194" i="20"/>
  <c r="P287" i="20"/>
  <c r="P127" i="20"/>
  <c r="P121" i="20"/>
  <c r="P207" i="20"/>
  <c r="P147" i="20"/>
  <c r="P261" i="20"/>
  <c r="P173" i="20"/>
  <c r="P222" i="20"/>
  <c r="P206" i="20"/>
  <c r="P190" i="20"/>
  <c r="P61" i="20"/>
  <c r="P188" i="20"/>
  <c r="P283" i="20"/>
  <c r="P267" i="20"/>
  <c r="P250" i="20"/>
  <c r="P265" i="20"/>
  <c r="P269" i="20"/>
  <c r="P170" i="20"/>
  <c r="P38" i="20"/>
  <c r="P210" i="20"/>
  <c r="P107" i="20"/>
  <c r="P191" i="20"/>
  <c r="P166" i="20"/>
  <c r="P123" i="20"/>
  <c r="P158" i="20"/>
  <c r="P178" i="20"/>
  <c r="P211" i="20"/>
  <c r="P203" i="20"/>
  <c r="P179" i="20"/>
  <c r="P256" i="20"/>
  <c r="P182" i="20"/>
  <c r="P109" i="20"/>
  <c r="P177" i="20"/>
  <c r="P165" i="20"/>
  <c r="P157" i="20"/>
  <c r="P218" i="20"/>
  <c r="P202" i="20"/>
  <c r="P301" i="20"/>
  <c r="P279" i="20"/>
  <c r="P263" i="20"/>
  <c r="P246" i="20"/>
  <c r="P259" i="20"/>
  <c r="P254" i="20"/>
  <c r="P230" i="20"/>
  <c r="P231" i="20"/>
  <c r="P164" i="20"/>
  <c r="P153" i="20"/>
  <c r="P214" i="20"/>
  <c r="P198" i="20"/>
  <c r="P195" i="20"/>
  <c r="P220" i="20"/>
  <c r="P62" i="20"/>
  <c r="P69" i="20"/>
  <c r="P70" i="20"/>
  <c r="P297" i="20"/>
  <c r="P275" i="20"/>
  <c r="P258" i="20"/>
  <c r="P242" i="20"/>
  <c r="P234" i="20"/>
  <c r="P271" i="20"/>
  <c r="P172" i="20"/>
  <c r="P149" i="20"/>
  <c r="P226" i="20"/>
  <c r="P219" i="20"/>
  <c r="P273" i="20"/>
  <c r="P119" i="20"/>
  <c r="P154" i="20"/>
  <c r="P44" i="20"/>
  <c r="P187" i="20"/>
  <c r="P162" i="20"/>
  <c r="P108" i="20"/>
  <c r="P133" i="20"/>
  <c r="P115" i="20"/>
  <c r="P183" i="20"/>
  <c r="P151" i="20"/>
  <c r="P49" i="20"/>
  <c r="P199" i="20"/>
  <c r="P77" i="20"/>
  <c r="P58" i="20"/>
  <c r="P277" i="20"/>
  <c r="F21" i="14"/>
  <c r="D24" i="25" l="1"/>
  <c r="D31" i="22"/>
  <c r="O12" i="20"/>
  <c r="P12" i="20" s="1"/>
  <c r="P71" i="20"/>
  <c r="S33" i="20"/>
  <c r="T33" i="20"/>
  <c r="V33" i="20" s="1"/>
  <c r="S96" i="20"/>
  <c r="T96" i="20"/>
  <c r="S35" i="20"/>
  <c r="T35" i="20"/>
  <c r="V35" i="20" s="1"/>
  <c r="S10" i="20"/>
  <c r="T10" i="20"/>
  <c r="V10" i="20" s="1"/>
  <c r="S8" i="20"/>
  <c r="T8" i="20"/>
  <c r="V8" i="20" s="1"/>
  <c r="S9" i="20"/>
  <c r="T9" i="20"/>
  <c r="V9" i="20" s="1"/>
  <c r="S6" i="20"/>
  <c r="T6" i="20"/>
  <c r="V6" i="20" s="1"/>
  <c r="S7" i="20"/>
  <c r="T7" i="20"/>
  <c r="V7" i="20" s="1"/>
  <c r="S32" i="20"/>
  <c r="T32" i="20"/>
  <c r="V32" i="20" s="1"/>
  <c r="S5" i="20"/>
  <c r="T5" i="20"/>
  <c r="V5" i="20" s="1"/>
  <c r="V3" i="20"/>
  <c r="U3" i="20"/>
  <c r="U4" i="20" s="1"/>
  <c r="S11" i="20"/>
  <c r="T11" i="20"/>
  <c r="V11" i="20" s="1"/>
  <c r="H37" i="21"/>
  <c r="S34" i="20"/>
  <c r="T34" i="20"/>
  <c r="V34" i="20" s="1"/>
  <c r="P223" i="20"/>
  <c r="R3" i="20"/>
  <c r="R4" i="20" s="1"/>
  <c r="R5" i="20" s="1"/>
  <c r="R6" i="20" s="1"/>
  <c r="R7" i="20" s="1"/>
  <c r="R8" i="20" s="1"/>
  <c r="R9" i="20" s="1"/>
  <c r="R10" i="20" s="1"/>
  <c r="R11" i="20" s="1"/>
  <c r="R12" i="20" s="1"/>
  <c r="S3" i="20"/>
  <c r="P25" i="20"/>
  <c r="P113" i="20"/>
  <c r="D23" i="25"/>
  <c r="D33" i="22"/>
  <c r="D27" i="25"/>
  <c r="D30" i="25"/>
  <c r="D30" i="22"/>
  <c r="D34" i="22"/>
  <c r="D29" i="25"/>
  <c r="D22" i="22"/>
  <c r="D24" i="22"/>
  <c r="D27" i="22"/>
  <c r="D28" i="22"/>
  <c r="D26" i="25"/>
  <c r="D36" i="22"/>
  <c r="P102" i="20"/>
  <c r="D28" i="25"/>
  <c r="D29" i="22"/>
  <c r="D25" i="22"/>
  <c r="D35" i="22"/>
  <c r="D25" i="25"/>
  <c r="P169" i="20"/>
  <c r="P45" i="20"/>
  <c r="P281" i="20"/>
  <c r="P96" i="20"/>
  <c r="P209" i="20"/>
  <c r="P257" i="20"/>
  <c r="P196" i="20"/>
  <c r="P86" i="20"/>
  <c r="P302" i="20"/>
  <c r="P56" i="20"/>
  <c r="P27" i="20"/>
  <c r="P68" i="20"/>
  <c r="P129" i="20"/>
  <c r="P285" i="20"/>
  <c r="P98" i="20"/>
  <c r="P28" i="20"/>
  <c r="P236" i="20"/>
  <c r="P76" i="20"/>
  <c r="P270" i="20"/>
  <c r="P128" i="20"/>
  <c r="P104" i="20"/>
  <c r="P225" i="20"/>
  <c r="O51" i="20"/>
  <c r="P51" i="20" s="1"/>
  <c r="P78" i="20"/>
  <c r="P185" i="20"/>
  <c r="P106" i="20"/>
  <c r="D22" i="25"/>
  <c r="O93" i="20"/>
  <c r="P93" i="20" s="1"/>
  <c r="O84" i="20"/>
  <c r="P118" i="20"/>
  <c r="P193" i="20"/>
  <c r="P37" i="20"/>
  <c r="P241" i="20"/>
  <c r="P184" i="20"/>
  <c r="P14" i="20"/>
  <c r="O16" i="20"/>
  <c r="P16" i="20" s="1"/>
  <c r="P278" i="20"/>
  <c r="P80" i="20"/>
  <c r="P282" i="20"/>
  <c r="P253" i="20"/>
  <c r="P247" i="20"/>
  <c r="P83" i="20"/>
  <c r="P140" i="20"/>
  <c r="P64" i="20"/>
  <c r="P110" i="20"/>
  <c r="P72" i="20"/>
  <c r="P204" i="20"/>
  <c r="P112" i="20"/>
  <c r="P197" i="20"/>
  <c r="P125" i="20"/>
  <c r="P252" i="20"/>
  <c r="P163" i="20"/>
  <c r="P251" i="20"/>
  <c r="P46" i="20"/>
  <c r="P156" i="20"/>
  <c r="P101" i="20"/>
  <c r="P303" i="20"/>
  <c r="P232" i="20"/>
  <c r="P180" i="20"/>
  <c r="P266" i="20"/>
  <c r="P215" i="20"/>
  <c r="P160" i="20"/>
  <c r="P22" i="20"/>
  <c r="P174" i="20"/>
  <c r="P26" i="20"/>
  <c r="P224" i="20"/>
  <c r="P264" i="20"/>
  <c r="P217" i="20"/>
  <c r="P120" i="20"/>
  <c r="P116" i="20"/>
  <c r="P280" i="20"/>
  <c r="P81" i="20"/>
  <c r="P114" i="20"/>
  <c r="P262" i="20"/>
  <c r="P54" i="20"/>
  <c r="P73" i="20"/>
  <c r="P19" i="20"/>
  <c r="P31" i="20"/>
  <c r="P229" i="20"/>
  <c r="P146" i="20"/>
  <c r="P268" i="20"/>
  <c r="P79" i="20"/>
  <c r="P126" i="20"/>
  <c r="P276" i="20"/>
  <c r="P300" i="20"/>
  <c r="P228" i="20"/>
  <c r="P88" i="20"/>
  <c r="P299" i="20"/>
  <c r="P85" i="20"/>
  <c r="P212" i="20"/>
  <c r="P284" i="20"/>
  <c r="P233" i="20"/>
  <c r="P130" i="20"/>
  <c r="P66" i="20"/>
  <c r="P255" i="20"/>
  <c r="P139" i="20"/>
  <c r="P132" i="20"/>
  <c r="P298" i="20"/>
  <c r="P288" i="20"/>
  <c r="P227" i="20"/>
  <c r="P144" i="20"/>
  <c r="P23" i="20"/>
  <c r="P117" i="20"/>
  <c r="P142" i="20"/>
  <c r="P100" i="20"/>
  <c r="P171" i="20"/>
  <c r="P92" i="20"/>
  <c r="P161" i="20"/>
  <c r="P201" i="20"/>
  <c r="P159" i="20"/>
  <c r="P176" i="20"/>
  <c r="P99" i="20"/>
  <c r="P97" i="20"/>
  <c r="P148" i="20"/>
  <c r="P39" i="20"/>
  <c r="P55" i="20"/>
  <c r="P136" i="20"/>
  <c r="P248" i="20"/>
  <c r="P186" i="20"/>
  <c r="P152" i="20"/>
  <c r="P87" i="20"/>
  <c r="P122" i="20"/>
  <c r="P41" i="20"/>
  <c r="P249" i="20"/>
  <c r="P90" i="20"/>
  <c r="P141" i="20"/>
  <c r="P91" i="20"/>
  <c r="P181" i="20"/>
  <c r="P124" i="20"/>
  <c r="P36" i="20"/>
  <c r="P15" i="20"/>
  <c r="P60" i="20"/>
  <c r="P53" i="20"/>
  <c r="P135" i="20"/>
  <c r="P155" i="20"/>
  <c r="P286" i="20"/>
  <c r="P296" i="20"/>
  <c r="P65" i="20"/>
  <c r="P59" i="20"/>
  <c r="P18" i="20"/>
  <c r="P134" i="20"/>
  <c r="P89" i="20"/>
  <c r="P13" i="20"/>
  <c r="P235" i="20"/>
  <c r="P30" i="20"/>
  <c r="P244" i="20"/>
  <c r="P74" i="20"/>
  <c r="P189" i="20"/>
  <c r="P103" i="20"/>
  <c r="P67" i="20"/>
  <c r="P75" i="20"/>
  <c r="P145" i="20"/>
  <c r="P131" i="20"/>
  <c r="P57" i="20"/>
  <c r="P272" i="20"/>
  <c r="P21" i="20"/>
  <c r="P143" i="20"/>
  <c r="P111" i="20"/>
  <c r="P175" i="20"/>
  <c r="P205" i="20"/>
  <c r="P239" i="20"/>
  <c r="P40" i="20"/>
  <c r="P200" i="20"/>
  <c r="P138" i="20"/>
  <c r="P48" i="20"/>
  <c r="P17" i="20"/>
  <c r="P20" i="20"/>
  <c r="P29" i="20"/>
  <c r="P150" i="20"/>
  <c r="P213" i="20"/>
  <c r="P137" i="20"/>
  <c r="P63" i="20"/>
  <c r="P245" i="20"/>
  <c r="P82" i="20"/>
  <c r="P47" i="20"/>
  <c r="P50" i="20"/>
  <c r="P192" i="20"/>
  <c r="P221" i="20"/>
  <c r="P168" i="20"/>
  <c r="P274" i="20"/>
  <c r="P167" i="20"/>
  <c r="P42" i="20"/>
  <c r="P43" i="20"/>
  <c r="D19" i="21" l="1"/>
  <c r="E24" i="25"/>
  <c r="F24" i="25" s="1"/>
  <c r="E31" i="22"/>
  <c r="F31" i="22" s="1"/>
  <c r="C20" i="21"/>
  <c r="E19" i="21"/>
  <c r="U5" i="20"/>
  <c r="U6" i="20" s="1"/>
  <c r="U7" i="20" s="1"/>
  <c r="U8" i="20" s="1"/>
  <c r="U9" i="20" s="1"/>
  <c r="U10" i="20" s="1"/>
  <c r="U11" i="20" s="1"/>
  <c r="U12" i="20" s="1"/>
  <c r="T335" i="20"/>
  <c r="A26" i="21" s="1"/>
  <c r="H38" i="21"/>
  <c r="P319" i="20"/>
  <c r="P314" i="20"/>
  <c r="P308" i="20"/>
  <c r="R13" i="20"/>
  <c r="S12" i="20"/>
  <c r="P328" i="20"/>
  <c r="P316" i="20"/>
  <c r="P327" i="20"/>
  <c r="P312" i="20"/>
  <c r="P306" i="20"/>
  <c r="P326" i="20"/>
  <c r="P321" i="20"/>
  <c r="P313" i="20"/>
  <c r="P331" i="20"/>
  <c r="E30" i="25"/>
  <c r="F30" i="25" s="1"/>
  <c r="P315" i="20"/>
  <c r="P309" i="20"/>
  <c r="P304" i="20"/>
  <c r="P307" i="20"/>
  <c r="P322" i="20"/>
  <c r="P325" i="20"/>
  <c r="P318" i="20"/>
  <c r="P311" i="20"/>
  <c r="P332" i="20"/>
  <c r="P324" i="20"/>
  <c r="P330" i="20"/>
  <c r="P320" i="20"/>
  <c r="P323" i="20"/>
  <c r="P329" i="20"/>
  <c r="P333" i="20"/>
  <c r="D38" i="22"/>
  <c r="P305" i="20"/>
  <c r="P310" i="20"/>
  <c r="P317" i="20"/>
  <c r="D26" i="22"/>
  <c r="E28" i="25"/>
  <c r="F28" i="25" s="1"/>
  <c r="E27" i="25"/>
  <c r="F27" i="25" s="1"/>
  <c r="E21" i="22"/>
  <c r="E22" i="22"/>
  <c r="F22" i="22" s="1"/>
  <c r="E23" i="22"/>
  <c r="E29" i="25"/>
  <c r="F29" i="25" s="1"/>
  <c r="E34" i="22"/>
  <c r="F34" i="22" s="1"/>
  <c r="E23" i="25"/>
  <c r="F23" i="25" s="1"/>
  <c r="E35" i="22"/>
  <c r="F35" i="22" s="1"/>
  <c r="E26" i="25"/>
  <c r="F26" i="25" s="1"/>
  <c r="D23" i="22"/>
  <c r="E25" i="25"/>
  <c r="F25" i="25" s="1"/>
  <c r="E24" i="22"/>
  <c r="F24" i="22" s="1"/>
  <c r="E33" i="22"/>
  <c r="F33" i="22" s="1"/>
  <c r="E25" i="22"/>
  <c r="F25" i="22" s="1"/>
  <c r="E32" i="22"/>
  <c r="E37" i="22"/>
  <c r="E36" i="22"/>
  <c r="F36" i="22" s="1"/>
  <c r="E28" i="22"/>
  <c r="F28" i="22" s="1"/>
  <c r="D32" i="22"/>
  <c r="E29" i="22"/>
  <c r="F29" i="22" s="1"/>
  <c r="E30" i="22"/>
  <c r="F30" i="22" s="1"/>
  <c r="D21" i="22"/>
  <c r="E27" i="22"/>
  <c r="F27" i="22" s="1"/>
  <c r="D21" i="25"/>
  <c r="D31" i="25" s="1"/>
  <c r="D39" i="22"/>
  <c r="D37" i="22"/>
  <c r="D20" i="21"/>
  <c r="P84" i="20"/>
  <c r="P243" i="20"/>
  <c r="E22" i="25" s="1"/>
  <c r="F22" i="25" s="1"/>
  <c r="F19" i="21" l="1"/>
  <c r="E20" i="21"/>
  <c r="F20" i="21" s="1"/>
  <c r="H39" i="21"/>
  <c r="A27" i="21"/>
  <c r="U13" i="20"/>
  <c r="U14" i="20" s="1"/>
  <c r="U15" i="20" s="1"/>
  <c r="V12" i="20"/>
  <c r="R14" i="20"/>
  <c r="S13" i="20"/>
  <c r="E38" i="22"/>
  <c r="F38" i="22" s="1"/>
  <c r="F21" i="22"/>
  <c r="D40" i="22"/>
  <c r="F37" i="22"/>
  <c r="F23" i="22"/>
  <c r="E26" i="22"/>
  <c r="F26" i="22" s="1"/>
  <c r="F32" i="22"/>
  <c r="E21" i="25"/>
  <c r="F21" i="25" s="1"/>
  <c r="E39" i="22"/>
  <c r="F39" i="22" s="1"/>
  <c r="H40" i="21" l="1"/>
  <c r="U16" i="20"/>
  <c r="U17" i="20" s="1"/>
  <c r="U18" i="20" s="1"/>
  <c r="U19" i="20" s="1"/>
  <c r="U20" i="20" s="1"/>
  <c r="U21" i="20" s="1"/>
  <c r="U22" i="20" s="1"/>
  <c r="U23" i="20" s="1"/>
  <c r="U24" i="20" s="1"/>
  <c r="U25" i="20" s="1"/>
  <c r="V15" i="20"/>
  <c r="A28" i="21"/>
  <c r="R15" i="20"/>
  <c r="S14" i="20"/>
  <c r="S30" i="20"/>
  <c r="E40" i="22"/>
  <c r="F40" i="22" s="1"/>
  <c r="E31" i="25"/>
  <c r="F31" i="25" s="1"/>
  <c r="U26" i="20" l="1"/>
  <c r="V25" i="20"/>
  <c r="A29" i="21"/>
  <c r="V30" i="20"/>
  <c r="H41" i="21"/>
  <c r="R16" i="20"/>
  <c r="S15" i="20"/>
  <c r="U27" i="20" l="1"/>
  <c r="U28" i="20" s="1"/>
  <c r="U29" i="20" s="1"/>
  <c r="U30" i="20" s="1"/>
  <c r="U31" i="20" s="1"/>
  <c r="U32" i="20" s="1"/>
  <c r="U33" i="20" s="1"/>
  <c r="U34" i="20" s="1"/>
  <c r="U35" i="20" s="1"/>
  <c r="U36" i="20" s="1"/>
  <c r="U37" i="20" s="1"/>
  <c r="U38" i="20" s="1"/>
  <c r="U39" i="20" s="1"/>
  <c r="U40" i="20" s="1"/>
  <c r="U41" i="20" s="1"/>
  <c r="U42" i="20" s="1"/>
  <c r="U43" i="20" s="1"/>
  <c r="U44" i="20" s="1"/>
  <c r="U45" i="20" s="1"/>
  <c r="U46" i="20" s="1"/>
  <c r="U47" i="20" s="1"/>
  <c r="U48" i="20" s="1"/>
  <c r="U49" i="20" s="1"/>
  <c r="U50" i="20" s="1"/>
  <c r="U51" i="20" s="1"/>
  <c r="U52" i="20" s="1"/>
  <c r="U53" i="20" s="1"/>
  <c r="U54" i="20" s="1"/>
  <c r="U55" i="20" s="1"/>
  <c r="U56" i="20" s="1"/>
  <c r="U57" i="20" s="1"/>
  <c r="U58" i="20" s="1"/>
  <c r="U59" i="20" s="1"/>
  <c r="U60" i="20" s="1"/>
  <c r="U61" i="20" s="1"/>
  <c r="U62" i="20" s="1"/>
  <c r="U63" i="20" s="1"/>
  <c r="U64" i="20" s="1"/>
  <c r="U65" i="20" s="1"/>
  <c r="U66" i="20" s="1"/>
  <c r="U67" i="20" s="1"/>
  <c r="U68" i="20" s="1"/>
  <c r="U69" i="20" s="1"/>
  <c r="U70" i="20" s="1"/>
  <c r="U71" i="20" s="1"/>
  <c r="U72" i="20" s="1"/>
  <c r="U73" i="20" s="1"/>
  <c r="U74" i="20" s="1"/>
  <c r="U75" i="20" s="1"/>
  <c r="U76" i="20" s="1"/>
  <c r="U77" i="20" s="1"/>
  <c r="U78" i="20" s="1"/>
  <c r="U79" i="20" s="1"/>
  <c r="U80" i="20" s="1"/>
  <c r="U81" i="20" s="1"/>
  <c r="U82" i="20" s="1"/>
  <c r="U83" i="20" s="1"/>
  <c r="U84" i="20" s="1"/>
  <c r="U85" i="20" s="1"/>
  <c r="U86" i="20" s="1"/>
  <c r="U87" i="20" s="1"/>
  <c r="U88" i="20" s="1"/>
  <c r="U89" i="20" s="1"/>
  <c r="U90" i="20" s="1"/>
  <c r="U91" i="20" s="1"/>
  <c r="U92" i="20" s="1"/>
  <c r="U93" i="20" s="1"/>
  <c r="U94" i="20" s="1"/>
  <c r="U95" i="20" s="1"/>
  <c r="U96" i="20" s="1"/>
  <c r="U97" i="20" s="1"/>
  <c r="U98" i="20" s="1"/>
  <c r="U99" i="20" s="1"/>
  <c r="U100" i="20" s="1"/>
  <c r="U101" i="20" s="1"/>
  <c r="U102" i="20" s="1"/>
  <c r="U103" i="20" s="1"/>
  <c r="U104" i="20" s="1"/>
  <c r="U105" i="20" s="1"/>
  <c r="U106" i="20" s="1"/>
  <c r="U107" i="20" s="1"/>
  <c r="U108" i="20" s="1"/>
  <c r="U109" i="20" s="1"/>
  <c r="U110" i="20" s="1"/>
  <c r="U111" i="20" s="1"/>
  <c r="U112" i="20" s="1"/>
  <c r="U113" i="20" s="1"/>
  <c r="U114" i="20" s="1"/>
  <c r="U115" i="20" s="1"/>
  <c r="U116" i="20" s="1"/>
  <c r="U117" i="20" s="1"/>
  <c r="U118" i="20" s="1"/>
  <c r="U119" i="20" s="1"/>
  <c r="U120" i="20" s="1"/>
  <c r="U121" i="20" s="1"/>
  <c r="U122" i="20" s="1"/>
  <c r="U123" i="20" s="1"/>
  <c r="U124" i="20" s="1"/>
  <c r="U125" i="20" s="1"/>
  <c r="U126" i="20" s="1"/>
  <c r="U127" i="20" s="1"/>
  <c r="U128" i="20" s="1"/>
  <c r="U129" i="20" s="1"/>
  <c r="U130" i="20" s="1"/>
  <c r="U131" i="20" s="1"/>
  <c r="U132" i="20" s="1"/>
  <c r="U133" i="20" s="1"/>
  <c r="U134" i="20" s="1"/>
  <c r="U135" i="20" s="1"/>
  <c r="U136" i="20" s="1"/>
  <c r="U137" i="20" s="1"/>
  <c r="U138" i="20" s="1"/>
  <c r="U139" i="20" s="1"/>
  <c r="U140" i="20" s="1"/>
  <c r="U141" i="20" s="1"/>
  <c r="U142" i="20" s="1"/>
  <c r="U143" i="20" s="1"/>
  <c r="U144" i="20" s="1"/>
  <c r="U145" i="20" s="1"/>
  <c r="U146" i="20" s="1"/>
  <c r="U147" i="20" s="1"/>
  <c r="U148" i="20" s="1"/>
  <c r="U149" i="20" s="1"/>
  <c r="U150" i="20" s="1"/>
  <c r="U151" i="20" s="1"/>
  <c r="U152" i="20" s="1"/>
  <c r="U153" i="20" s="1"/>
  <c r="U154" i="20" s="1"/>
  <c r="U155" i="20" s="1"/>
  <c r="U156" i="20" s="1"/>
  <c r="U157" i="20" s="1"/>
  <c r="U158" i="20" s="1"/>
  <c r="U159" i="20" s="1"/>
  <c r="U160" i="20" s="1"/>
  <c r="U161" i="20" s="1"/>
  <c r="U162" i="20" s="1"/>
  <c r="U163" i="20" s="1"/>
  <c r="U164" i="20" s="1"/>
  <c r="U165" i="20" s="1"/>
  <c r="U166" i="20" s="1"/>
  <c r="U167" i="20" s="1"/>
  <c r="U168" i="20" s="1"/>
  <c r="U169" i="20" s="1"/>
  <c r="U170" i="20" s="1"/>
  <c r="U171" i="20" s="1"/>
  <c r="U172" i="20" s="1"/>
  <c r="U173" i="20" s="1"/>
  <c r="U174" i="20" s="1"/>
  <c r="U175" i="20" s="1"/>
  <c r="U176" i="20" s="1"/>
  <c r="U177" i="20" s="1"/>
  <c r="V26" i="20"/>
  <c r="H42" i="21"/>
  <c r="A30" i="21"/>
  <c r="V31" i="20"/>
  <c r="R17" i="20"/>
  <c r="R18" i="20" s="1"/>
  <c r="R19" i="20" s="1"/>
  <c r="S16" i="20"/>
  <c r="S50" i="20"/>
  <c r="U178" i="20" l="1"/>
  <c r="U179" i="20" s="1"/>
  <c r="V177" i="20"/>
  <c r="V178" i="20"/>
  <c r="R20" i="20"/>
  <c r="R21" i="20" s="1"/>
  <c r="R22" i="20" s="1"/>
  <c r="S19" i="20"/>
  <c r="V37" i="20"/>
  <c r="H43" i="21"/>
  <c r="A31" i="21"/>
  <c r="S51" i="20"/>
  <c r="U180" i="20" l="1"/>
  <c r="U181" i="20" s="1"/>
  <c r="U182" i="20" s="1"/>
  <c r="U183" i="20" s="1"/>
  <c r="U184" i="20" s="1"/>
  <c r="U185" i="20" s="1"/>
  <c r="U186" i="20" s="1"/>
  <c r="U187" i="20" s="1"/>
  <c r="U188" i="20" s="1"/>
  <c r="U189" i="20" s="1"/>
  <c r="U190" i="20" s="1"/>
  <c r="U191" i="20" s="1"/>
  <c r="U192" i="20" s="1"/>
  <c r="U193" i="20" s="1"/>
  <c r="U194" i="20" s="1"/>
  <c r="U195" i="20" s="1"/>
  <c r="U196" i="20" s="1"/>
  <c r="U197" i="20" s="1"/>
  <c r="U198" i="20" s="1"/>
  <c r="U199" i="20" s="1"/>
  <c r="U200" i="20" s="1"/>
  <c r="U201" i="20" s="1"/>
  <c r="U202" i="20" s="1"/>
  <c r="U203" i="20" s="1"/>
  <c r="U204" i="20" s="1"/>
  <c r="U205" i="20" s="1"/>
  <c r="U206" i="20" s="1"/>
  <c r="U207" i="20" s="1"/>
  <c r="U208" i="20" s="1"/>
  <c r="U209" i="20" s="1"/>
  <c r="U210" i="20" s="1"/>
  <c r="U211" i="20" s="1"/>
  <c r="U212" i="20" s="1"/>
  <c r="U213" i="20" s="1"/>
  <c r="U214" i="20" s="1"/>
  <c r="U215" i="20" s="1"/>
  <c r="U216" i="20" s="1"/>
  <c r="U217" i="20" s="1"/>
  <c r="U218" i="20" s="1"/>
  <c r="U219" i="20" s="1"/>
  <c r="U220" i="20" s="1"/>
  <c r="U221" i="20" s="1"/>
  <c r="U222" i="20" s="1"/>
  <c r="U223" i="20" s="1"/>
  <c r="U224" i="20" s="1"/>
  <c r="U225" i="20" s="1"/>
  <c r="U226" i="20" s="1"/>
  <c r="U227" i="20" s="1"/>
  <c r="U228" i="20" s="1"/>
  <c r="U229" i="20" s="1"/>
  <c r="U230" i="20" s="1"/>
  <c r="U231" i="20" s="1"/>
  <c r="U232" i="20" s="1"/>
  <c r="U233" i="20" s="1"/>
  <c r="U234" i="20" s="1"/>
  <c r="U235" i="20" s="1"/>
  <c r="U236" i="20" s="1"/>
  <c r="U237" i="20" s="1"/>
  <c r="U238" i="20" s="1"/>
  <c r="U239" i="20" s="1"/>
  <c r="U240" i="20" s="1"/>
  <c r="U241" i="20" s="1"/>
  <c r="U242" i="20" s="1"/>
  <c r="U243" i="20" s="1"/>
  <c r="U244" i="20" s="1"/>
  <c r="U245" i="20" s="1"/>
  <c r="U246" i="20" s="1"/>
  <c r="U247" i="20" s="1"/>
  <c r="U248" i="20" s="1"/>
  <c r="U249" i="20" s="1"/>
  <c r="U250" i="20" s="1"/>
  <c r="U251" i="20" s="1"/>
  <c r="U252" i="20" s="1"/>
  <c r="U253" i="20" s="1"/>
  <c r="U254" i="20" s="1"/>
  <c r="U255" i="20" s="1"/>
  <c r="U256" i="20" s="1"/>
  <c r="U257" i="20" s="1"/>
  <c r="U258" i="20" s="1"/>
  <c r="U259" i="20" s="1"/>
  <c r="U260" i="20" s="1"/>
  <c r="U261" i="20" s="1"/>
  <c r="U262" i="20" s="1"/>
  <c r="U263" i="20" s="1"/>
  <c r="U264" i="20" s="1"/>
  <c r="U265" i="20" s="1"/>
  <c r="U266" i="20" s="1"/>
  <c r="U267" i="20" s="1"/>
  <c r="U268" i="20" s="1"/>
  <c r="U269" i="20" s="1"/>
  <c r="U270" i="20" s="1"/>
  <c r="U271" i="20" s="1"/>
  <c r="U272" i="20" s="1"/>
  <c r="U273" i="20" s="1"/>
  <c r="U274" i="20" s="1"/>
  <c r="U275" i="20" s="1"/>
  <c r="U276" i="20" s="1"/>
  <c r="U277" i="20" s="1"/>
  <c r="U278" i="20" s="1"/>
  <c r="U279" i="20" s="1"/>
  <c r="U280" i="20" s="1"/>
  <c r="U281" i="20" s="1"/>
  <c r="U282" i="20" s="1"/>
  <c r="U283" i="20" s="1"/>
  <c r="U284" i="20" s="1"/>
  <c r="U285" i="20" s="1"/>
  <c r="U286" i="20" s="1"/>
  <c r="U287" i="20" s="1"/>
  <c r="U288" i="20" s="1"/>
  <c r="U289" i="20" s="1"/>
  <c r="U290" i="20" s="1"/>
  <c r="U291" i="20" s="1"/>
  <c r="U292" i="20" s="1"/>
  <c r="U293" i="20" s="1"/>
  <c r="U294" i="20" s="1"/>
  <c r="U295" i="20" s="1"/>
  <c r="U296" i="20" s="1"/>
  <c r="U297" i="20" s="1"/>
  <c r="U298" i="20" s="1"/>
  <c r="U299" i="20" s="1"/>
  <c r="U300" i="20" s="1"/>
  <c r="U301" i="20" s="1"/>
  <c r="U302" i="20" s="1"/>
  <c r="U303" i="20" s="1"/>
  <c r="U304" i="20" s="1"/>
  <c r="U305" i="20" s="1"/>
  <c r="U306" i="20" s="1"/>
  <c r="U307" i="20" s="1"/>
  <c r="U308" i="20" s="1"/>
  <c r="U309" i="20" s="1"/>
  <c r="U310" i="20" s="1"/>
  <c r="U311" i="20" s="1"/>
  <c r="U312" i="20" s="1"/>
  <c r="U313" i="20" s="1"/>
  <c r="U314" i="20" s="1"/>
  <c r="U315" i="20" s="1"/>
  <c r="U316" i="20" s="1"/>
  <c r="U317" i="20" s="1"/>
  <c r="U318" i="20" s="1"/>
  <c r="U319" i="20" s="1"/>
  <c r="U320" i="20" s="1"/>
  <c r="U321" i="20" s="1"/>
  <c r="U322" i="20" s="1"/>
  <c r="U323" i="20" s="1"/>
  <c r="U324" i="20" s="1"/>
  <c r="U325" i="20" s="1"/>
  <c r="U326" i="20" s="1"/>
  <c r="U327" i="20" s="1"/>
  <c r="U328" i="20" s="1"/>
  <c r="U329" i="20" s="1"/>
  <c r="U330" i="20" s="1"/>
  <c r="U331" i="20" s="1"/>
  <c r="U332" i="20" s="1"/>
  <c r="U333" i="20" s="1"/>
  <c r="V179" i="20"/>
  <c r="S238" i="20"/>
  <c r="R23" i="20"/>
  <c r="S22" i="20"/>
  <c r="V38" i="20"/>
  <c r="A32" i="21"/>
  <c r="H44" i="21"/>
  <c r="S147" i="20" l="1"/>
  <c r="S239" i="20"/>
  <c r="R24" i="20"/>
  <c r="R25" i="20" s="1"/>
  <c r="S23" i="20"/>
  <c r="S29" i="20"/>
  <c r="V39" i="20"/>
  <c r="H45" i="21"/>
  <c r="A33" i="21"/>
  <c r="S240" i="20" l="1"/>
  <c r="R26" i="20"/>
  <c r="S25" i="20"/>
  <c r="S31" i="20"/>
  <c r="V40" i="20"/>
  <c r="A34" i="21"/>
  <c r="H46" i="21"/>
  <c r="S56" i="20"/>
  <c r="S244" i="20" l="1"/>
  <c r="R27" i="20"/>
  <c r="S26" i="20"/>
  <c r="V50" i="20"/>
  <c r="A35" i="21"/>
  <c r="H47" i="21"/>
  <c r="S59" i="20"/>
  <c r="S255" i="20" l="1"/>
  <c r="R28" i="20"/>
  <c r="S27" i="20"/>
  <c r="V51" i="20"/>
  <c r="V59" i="20"/>
  <c r="A36" i="21"/>
  <c r="H48" i="21"/>
  <c r="S61" i="20"/>
  <c r="S297" i="20" l="1"/>
  <c r="R29" i="20"/>
  <c r="R30" i="20" s="1"/>
  <c r="R31" i="20" s="1"/>
  <c r="R32" i="20" s="1"/>
  <c r="R33" i="20" s="1"/>
  <c r="R34" i="20" s="1"/>
  <c r="R35" i="20" s="1"/>
  <c r="R36" i="20" s="1"/>
  <c r="R37" i="20" s="1"/>
  <c r="R38" i="20" s="1"/>
  <c r="R39" i="20" s="1"/>
  <c r="R40" i="20" s="1"/>
  <c r="R41" i="20" s="1"/>
  <c r="R42" i="20" s="1"/>
  <c r="R43" i="20" s="1"/>
  <c r="R44" i="20" s="1"/>
  <c r="R45" i="20" s="1"/>
  <c r="R46" i="20" s="1"/>
  <c r="R47" i="20" s="1"/>
  <c r="R48" i="20" s="1"/>
  <c r="R49" i="20" s="1"/>
  <c r="R50" i="20" s="1"/>
  <c r="R51" i="20" s="1"/>
  <c r="R52" i="20" s="1"/>
  <c r="S52" i="20" s="1"/>
  <c r="S28" i="20"/>
  <c r="V52" i="20"/>
  <c r="V61" i="20"/>
  <c r="A37" i="21"/>
  <c r="H49" i="21"/>
  <c r="S63" i="20"/>
  <c r="R53" i="20" l="1"/>
  <c r="R54" i="20" s="1"/>
  <c r="R55" i="20" s="1"/>
  <c r="R56" i="20" s="1"/>
  <c r="R57" i="20" s="1"/>
  <c r="R58" i="20" s="1"/>
  <c r="R59" i="20" s="1"/>
  <c r="R60" i="20" s="1"/>
  <c r="R61" i="20" s="1"/>
  <c r="R62" i="20" s="1"/>
  <c r="R63" i="20" s="1"/>
  <c r="R64" i="20" s="1"/>
  <c r="R65" i="20" s="1"/>
  <c r="R66" i="20" s="1"/>
  <c r="R67" i="20" s="1"/>
  <c r="R68" i="20" s="1"/>
  <c r="R69" i="20" s="1"/>
  <c r="R70" i="20" s="1"/>
  <c r="R71" i="20" s="1"/>
  <c r="R72" i="20" s="1"/>
  <c r="R73" i="20" s="1"/>
  <c r="R74" i="20" s="1"/>
  <c r="R75" i="20" s="1"/>
  <c r="R76" i="20" s="1"/>
  <c r="R77" i="20" s="1"/>
  <c r="R78" i="20" s="1"/>
  <c r="R79" i="20" s="1"/>
  <c r="R80" i="20" s="1"/>
  <c r="R81" i="20" s="1"/>
  <c r="R82" i="20" s="1"/>
  <c r="R83" i="20" s="1"/>
  <c r="R84" i="20" s="1"/>
  <c r="R85" i="20" s="1"/>
  <c r="R86" i="20" s="1"/>
  <c r="R87" i="20" s="1"/>
  <c r="R88" i="20" s="1"/>
  <c r="R89" i="20" s="1"/>
  <c r="R90" i="20" s="1"/>
  <c r="R91" i="20" s="1"/>
  <c r="R92" i="20" s="1"/>
  <c r="R93" i="20" s="1"/>
  <c r="R94" i="20" s="1"/>
  <c r="R95" i="20" s="1"/>
  <c r="R96" i="20" s="1"/>
  <c r="R97" i="20" s="1"/>
  <c r="R98" i="20" s="1"/>
  <c r="R99" i="20" s="1"/>
  <c r="R100" i="20" s="1"/>
  <c r="R101" i="20" s="1"/>
  <c r="R102" i="20" s="1"/>
  <c r="R103" i="20" s="1"/>
  <c r="R104" i="20" s="1"/>
  <c r="R105" i="20" s="1"/>
  <c r="R106" i="20" s="1"/>
  <c r="R107" i="20" s="1"/>
  <c r="R108" i="20" s="1"/>
  <c r="R109" i="20" s="1"/>
  <c r="R110" i="20" s="1"/>
  <c r="R111" i="20" s="1"/>
  <c r="R112" i="20" s="1"/>
  <c r="R113" i="20" s="1"/>
  <c r="R114" i="20" s="1"/>
  <c r="R115" i="20" s="1"/>
  <c r="R116" i="20" s="1"/>
  <c r="R117" i="20" s="1"/>
  <c r="R118" i="20" s="1"/>
  <c r="R119" i="20" s="1"/>
  <c r="R120" i="20" s="1"/>
  <c r="R121" i="20" s="1"/>
  <c r="R122" i="20" s="1"/>
  <c r="R123" i="20" s="1"/>
  <c r="R124" i="20" s="1"/>
  <c r="R125" i="20" s="1"/>
  <c r="R126" i="20" s="1"/>
  <c r="R127" i="20" s="1"/>
  <c r="R128" i="20" s="1"/>
  <c r="R129" i="20" s="1"/>
  <c r="R130" i="20" s="1"/>
  <c r="R131" i="20" s="1"/>
  <c r="R132" i="20" s="1"/>
  <c r="R133" i="20" s="1"/>
  <c r="R134" i="20" s="1"/>
  <c r="R135" i="20" s="1"/>
  <c r="R136" i="20" s="1"/>
  <c r="R137" i="20" s="1"/>
  <c r="R138" i="20" s="1"/>
  <c r="S53" i="20"/>
  <c r="V53" i="20"/>
  <c r="A38" i="21"/>
  <c r="V63" i="20"/>
  <c r="H50" i="21"/>
  <c r="S64" i="20"/>
  <c r="R139" i="20" l="1"/>
  <c r="R140" i="20" s="1"/>
  <c r="R141" i="20" s="1"/>
  <c r="R142" i="20" s="1"/>
  <c r="R143" i="20" s="1"/>
  <c r="R144" i="20" s="1"/>
  <c r="R145" i="20" s="1"/>
  <c r="R146" i="20" s="1"/>
  <c r="S138" i="20"/>
  <c r="V55" i="20"/>
  <c r="A39" i="21"/>
  <c r="H51" i="21"/>
  <c r="S67" i="20"/>
  <c r="R147" i="20" l="1"/>
  <c r="R148" i="20" s="1"/>
  <c r="R149" i="20" s="1"/>
  <c r="R150" i="20" s="1"/>
  <c r="R151" i="20" s="1"/>
  <c r="R152" i="20" s="1"/>
  <c r="R153" i="20" s="1"/>
  <c r="R154" i="20" s="1"/>
  <c r="R155" i="20" s="1"/>
  <c r="R156" i="20" s="1"/>
  <c r="R157" i="20" s="1"/>
  <c r="R158" i="20" s="1"/>
  <c r="R159" i="20" s="1"/>
  <c r="R160" i="20" s="1"/>
  <c r="R161" i="20" s="1"/>
  <c r="R162" i="20" s="1"/>
  <c r="R163" i="20" s="1"/>
  <c r="R164" i="20" s="1"/>
  <c r="R165" i="20" s="1"/>
  <c r="R166" i="20" s="1"/>
  <c r="R167" i="20" s="1"/>
  <c r="R168" i="20" s="1"/>
  <c r="R169" i="20" s="1"/>
  <c r="R170" i="20" s="1"/>
  <c r="R171" i="20" s="1"/>
  <c r="R172" i="20" s="1"/>
  <c r="R173" i="20" s="1"/>
  <c r="R174" i="20" s="1"/>
  <c r="R175" i="20" s="1"/>
  <c r="R176" i="20" s="1"/>
  <c r="R177" i="20" s="1"/>
  <c r="R178" i="20" s="1"/>
  <c r="R179" i="20" s="1"/>
  <c r="R180" i="20" s="1"/>
  <c r="R181" i="20" s="1"/>
  <c r="R182" i="20" s="1"/>
  <c r="R183" i="20" s="1"/>
  <c r="R184" i="20" s="1"/>
  <c r="R185" i="20" s="1"/>
  <c r="R186" i="20" s="1"/>
  <c r="R187" i="20" s="1"/>
  <c r="R188" i="20" s="1"/>
  <c r="R189" i="20" s="1"/>
  <c r="R190" i="20" s="1"/>
  <c r="R191" i="20" s="1"/>
  <c r="R192" i="20" s="1"/>
  <c r="R193" i="20" s="1"/>
  <c r="R194" i="20" s="1"/>
  <c r="R195" i="20" s="1"/>
  <c r="R196" i="20" s="1"/>
  <c r="R197" i="20" s="1"/>
  <c r="R198" i="20" s="1"/>
  <c r="R199" i="20" s="1"/>
  <c r="R200" i="20" s="1"/>
  <c r="R201" i="20" s="1"/>
  <c r="R202" i="20" s="1"/>
  <c r="R203" i="20" s="1"/>
  <c r="R204" i="20" s="1"/>
  <c r="R205" i="20" s="1"/>
  <c r="R206" i="20" s="1"/>
  <c r="R207" i="20" s="1"/>
  <c r="R208" i="20" s="1"/>
  <c r="R209" i="20" s="1"/>
  <c r="R210" i="20" s="1"/>
  <c r="R211" i="20" s="1"/>
  <c r="R212" i="20" s="1"/>
  <c r="R213" i="20" s="1"/>
  <c r="R214" i="20" s="1"/>
  <c r="R215" i="20" s="1"/>
  <c r="R216" i="20" s="1"/>
  <c r="R217" i="20" s="1"/>
  <c r="R218" i="20" s="1"/>
  <c r="R219" i="20" s="1"/>
  <c r="R220" i="20" s="1"/>
  <c r="R221" i="20" s="1"/>
  <c r="R222" i="20" s="1"/>
  <c r="R223" i="20" s="1"/>
  <c r="R224" i="20" s="1"/>
  <c r="R225" i="20" s="1"/>
  <c r="R226" i="20" s="1"/>
  <c r="R227" i="20" s="1"/>
  <c r="R228" i="20" s="1"/>
  <c r="R229" i="20" s="1"/>
  <c r="R230" i="20" s="1"/>
  <c r="R231" i="20" s="1"/>
  <c r="R232" i="20" s="1"/>
  <c r="R233" i="20" s="1"/>
  <c r="R234" i="20" s="1"/>
  <c r="R235" i="20" s="1"/>
  <c r="R236" i="20" s="1"/>
  <c r="R237" i="20" s="1"/>
  <c r="R238" i="20" s="1"/>
  <c r="R239" i="20" s="1"/>
  <c r="R240" i="20" s="1"/>
  <c r="R241" i="20" s="1"/>
  <c r="R242" i="20" s="1"/>
  <c r="R243" i="20" s="1"/>
  <c r="R244" i="20" s="1"/>
  <c r="R245" i="20" s="1"/>
  <c r="R246" i="20" s="1"/>
  <c r="R247" i="20" s="1"/>
  <c r="R248" i="20" s="1"/>
  <c r="R249" i="20" s="1"/>
  <c r="R250" i="20" s="1"/>
  <c r="R251" i="20" s="1"/>
  <c r="R252" i="20" s="1"/>
  <c r="R253" i="20" s="1"/>
  <c r="R254" i="20" s="1"/>
  <c r="R255" i="20" s="1"/>
  <c r="R256" i="20" s="1"/>
  <c r="R257" i="20" s="1"/>
  <c r="R258" i="20" s="1"/>
  <c r="R259" i="20" s="1"/>
  <c r="R260" i="20" s="1"/>
  <c r="R261" i="20" s="1"/>
  <c r="R262" i="20" s="1"/>
  <c r="R263" i="20" s="1"/>
  <c r="R264" i="20" s="1"/>
  <c r="R265" i="20" s="1"/>
  <c r="R266" i="20" s="1"/>
  <c r="R267" i="20" s="1"/>
  <c r="R268" i="20" s="1"/>
  <c r="R269" i="20" s="1"/>
  <c r="R270" i="20" s="1"/>
  <c r="R271" i="20" s="1"/>
  <c r="R272" i="20" s="1"/>
  <c r="R273" i="20" s="1"/>
  <c r="R274" i="20" s="1"/>
  <c r="R275" i="20" s="1"/>
  <c r="R276" i="20" s="1"/>
  <c r="R277" i="20" s="1"/>
  <c r="R278" i="20" s="1"/>
  <c r="R279" i="20" s="1"/>
  <c r="R280" i="20" s="1"/>
  <c r="R281" i="20" s="1"/>
  <c r="R282" i="20" s="1"/>
  <c r="R283" i="20" s="1"/>
  <c r="R284" i="20" s="1"/>
  <c r="R285" i="20" s="1"/>
  <c r="R286" i="20" s="1"/>
  <c r="R287" i="20" s="1"/>
  <c r="R288" i="20" s="1"/>
  <c r="R289" i="20" s="1"/>
  <c r="R290" i="20" s="1"/>
  <c r="R291" i="20" s="1"/>
  <c r="R292" i="20" s="1"/>
  <c r="R293" i="20" s="1"/>
  <c r="R294" i="20" s="1"/>
  <c r="R295" i="20" s="1"/>
  <c r="R296" i="20" s="1"/>
  <c r="R297" i="20" s="1"/>
  <c r="R298" i="20" s="1"/>
  <c r="R299" i="20" s="1"/>
  <c r="R300" i="20" s="1"/>
  <c r="R301" i="20" s="1"/>
  <c r="R302" i="20" s="1"/>
  <c r="R303" i="20" s="1"/>
  <c r="R304" i="20" s="1"/>
  <c r="R305" i="20" s="1"/>
  <c r="R306" i="20" s="1"/>
  <c r="R307" i="20" s="1"/>
  <c r="R308" i="20" s="1"/>
  <c r="R309" i="20" s="1"/>
  <c r="R310" i="20" s="1"/>
  <c r="R311" i="20" s="1"/>
  <c r="R312" i="20" s="1"/>
  <c r="R313" i="20" s="1"/>
  <c r="R314" i="20" s="1"/>
  <c r="R315" i="20" s="1"/>
  <c r="R316" i="20" s="1"/>
  <c r="R317" i="20" s="1"/>
  <c r="R318" i="20" s="1"/>
  <c r="R319" i="20" s="1"/>
  <c r="R320" i="20" s="1"/>
  <c r="R321" i="20" s="1"/>
  <c r="R322" i="20" s="1"/>
  <c r="R323" i="20" s="1"/>
  <c r="R324" i="20" s="1"/>
  <c r="R325" i="20" s="1"/>
  <c r="R326" i="20" s="1"/>
  <c r="R327" i="20" s="1"/>
  <c r="R328" i="20" s="1"/>
  <c r="R329" i="20" s="1"/>
  <c r="R330" i="20" s="1"/>
  <c r="R331" i="20" s="1"/>
  <c r="R332" i="20" s="1"/>
  <c r="R333" i="20" s="1"/>
  <c r="S146" i="20"/>
  <c r="V56" i="20"/>
  <c r="H52" i="21"/>
  <c r="A40" i="21"/>
  <c r="S69" i="20"/>
  <c r="V57" i="20" l="1"/>
  <c r="A41" i="21"/>
  <c r="H53" i="21"/>
  <c r="S71" i="20"/>
  <c r="V58" i="20" l="1"/>
  <c r="H54" i="21"/>
  <c r="V71" i="20"/>
  <c r="A42" i="21"/>
  <c r="S72" i="20"/>
  <c r="V64" i="20" l="1"/>
  <c r="V72" i="20"/>
  <c r="H55" i="21"/>
  <c r="A43" i="21"/>
  <c r="S76" i="20"/>
  <c r="V65" i="20" l="1"/>
  <c r="A44" i="21"/>
  <c r="H56" i="21"/>
  <c r="V76" i="20"/>
  <c r="S77" i="20"/>
  <c r="V66" i="20" l="1"/>
  <c r="V77" i="20"/>
  <c r="A45" i="21"/>
  <c r="H57" i="21"/>
  <c r="S78" i="20"/>
  <c r="V67" i="20" l="1"/>
  <c r="H58" i="21"/>
  <c r="A46" i="21"/>
  <c r="S79" i="20"/>
  <c r="V68" i="20" l="1"/>
  <c r="H59" i="21"/>
  <c r="A47" i="21"/>
  <c r="S81" i="20"/>
  <c r="V69" i="20" l="1"/>
  <c r="A48" i="21"/>
  <c r="H60" i="21"/>
  <c r="S82" i="20"/>
  <c r="V70" i="20" l="1"/>
  <c r="H61" i="21"/>
  <c r="A49" i="21"/>
  <c r="S83" i="20"/>
  <c r="V78" i="20" l="1"/>
  <c r="A50" i="21"/>
  <c r="H62" i="21"/>
  <c r="S84" i="20"/>
  <c r="V79" i="20" l="1"/>
  <c r="H63" i="21"/>
  <c r="A51" i="21"/>
  <c r="S90" i="20"/>
  <c r="V80" i="20" l="1"/>
  <c r="A52" i="21"/>
  <c r="H64" i="21"/>
  <c r="V90" i="20"/>
  <c r="S91" i="20"/>
  <c r="V81" i="20" l="1"/>
  <c r="V91" i="20"/>
  <c r="A53" i="21"/>
  <c r="H65" i="21"/>
  <c r="S93" i="20"/>
  <c r="V82" i="20" l="1"/>
  <c r="V93" i="20"/>
  <c r="H66" i="21"/>
  <c r="A54" i="21"/>
  <c r="S94" i="20"/>
  <c r="V83" i="20" l="1"/>
  <c r="H67" i="21"/>
  <c r="V94" i="20"/>
  <c r="A55" i="21"/>
  <c r="S95" i="20"/>
  <c r="V84" i="20" l="1"/>
  <c r="V95" i="20"/>
  <c r="A56" i="21"/>
  <c r="H68" i="21"/>
  <c r="S99" i="20"/>
  <c r="V85" i="20" l="1"/>
  <c r="A57" i="21"/>
  <c r="V99" i="20"/>
  <c r="H69" i="21"/>
  <c r="S102" i="20"/>
  <c r="V86" i="20" l="1"/>
  <c r="V102" i="20"/>
  <c r="H70" i="21"/>
  <c r="A58" i="21"/>
  <c r="S110" i="20"/>
  <c r="V87" i="20" l="1"/>
  <c r="A59" i="21"/>
  <c r="H71" i="21"/>
  <c r="V110" i="20"/>
  <c r="S113" i="20"/>
  <c r="V88" i="20" l="1"/>
  <c r="A60" i="21"/>
  <c r="H72" i="21"/>
  <c r="S114" i="20"/>
  <c r="V96" i="20" l="1"/>
  <c r="A61" i="21"/>
  <c r="H73" i="21"/>
  <c r="S115" i="20"/>
  <c r="V97" i="20" l="1"/>
  <c r="H74" i="21"/>
  <c r="A62" i="21"/>
  <c r="S116" i="20"/>
  <c r="V98" i="20" l="1"/>
  <c r="A63" i="21"/>
  <c r="H75" i="21"/>
  <c r="S118" i="20"/>
  <c r="V112" i="20" l="1"/>
  <c r="H76" i="21"/>
  <c r="A64" i="21"/>
  <c r="S121" i="20"/>
  <c r="V113" i="20" l="1"/>
  <c r="A65" i="21"/>
  <c r="V121" i="20"/>
  <c r="H77" i="21"/>
  <c r="S127" i="20"/>
  <c r="V114" i="20" l="1"/>
  <c r="A66" i="21"/>
  <c r="H78" i="21"/>
  <c r="V127" i="20"/>
  <c r="S132" i="20"/>
  <c r="V115" i="20" l="1"/>
  <c r="H79" i="21"/>
  <c r="V132" i="20"/>
  <c r="A67" i="21"/>
  <c r="S140" i="20"/>
  <c r="V116" i="20" l="1"/>
  <c r="H80" i="21"/>
  <c r="A68" i="21"/>
  <c r="S143" i="20"/>
  <c r="V117" i="20" l="1"/>
  <c r="H81" i="21"/>
  <c r="A69" i="21"/>
  <c r="S150" i="20"/>
  <c r="V118" i="20" l="1"/>
  <c r="A70" i="21"/>
  <c r="H82" i="21"/>
  <c r="S152" i="20"/>
  <c r="V119" i="20" l="1"/>
  <c r="H83" i="21"/>
  <c r="A71" i="21"/>
  <c r="S153" i="20"/>
  <c r="V140" i="20" l="1"/>
  <c r="A72" i="21"/>
  <c r="H84" i="21"/>
  <c r="S155" i="20"/>
  <c r="V143" i="20" l="1"/>
  <c r="H85" i="21"/>
  <c r="A73" i="21"/>
  <c r="S160" i="20"/>
  <c r="V144" i="20" l="1"/>
  <c r="V150" i="20"/>
  <c r="H86" i="21"/>
  <c r="A74" i="21"/>
  <c r="V160" i="20"/>
  <c r="S161" i="20"/>
  <c r="V151" i="20" l="1"/>
  <c r="A75" i="21"/>
  <c r="H87" i="21"/>
  <c r="S166" i="20"/>
  <c r="V152" i="20" l="1"/>
  <c r="V166" i="20"/>
  <c r="H88" i="21"/>
  <c r="A76" i="21"/>
  <c r="S167" i="20"/>
  <c r="V153" i="20" l="1"/>
  <c r="A77" i="21"/>
  <c r="H89" i="21"/>
  <c r="V167" i="20"/>
  <c r="S182" i="20"/>
  <c r="V154" i="20" l="1"/>
  <c r="H90" i="21"/>
  <c r="A78" i="21"/>
  <c r="S183" i="20"/>
  <c r="V155" i="20" l="1"/>
  <c r="V161" i="20"/>
  <c r="H91" i="21"/>
  <c r="A79" i="21"/>
  <c r="S185" i="20"/>
  <c r="V162" i="20" l="1"/>
  <c r="H92" i="21"/>
  <c r="V185" i="20"/>
  <c r="A80" i="21"/>
  <c r="S186" i="20"/>
  <c r="V163" i="20" l="1"/>
  <c r="H93" i="21"/>
  <c r="A81" i="21"/>
  <c r="S191" i="20"/>
  <c r="V164" i="20" l="1"/>
  <c r="V180" i="20"/>
  <c r="S209" i="20"/>
  <c r="A82" i="21"/>
  <c r="V191" i="20"/>
  <c r="H94" i="21"/>
  <c r="S211" i="20"/>
  <c r="V181" i="20" l="1"/>
  <c r="S210" i="20"/>
  <c r="H95" i="21"/>
  <c r="A83" i="21"/>
  <c r="V211" i="20"/>
  <c r="S214" i="20"/>
  <c r="V182" i="20" l="1"/>
  <c r="H96" i="21"/>
  <c r="V214" i="20"/>
  <c r="A84" i="21"/>
  <c r="S217" i="20"/>
  <c r="V183" i="20" l="1"/>
  <c r="V186" i="20"/>
  <c r="S223" i="20"/>
  <c r="H97" i="21"/>
  <c r="A85" i="21"/>
  <c r="S224" i="20"/>
  <c r="V187" i="20" l="1"/>
  <c r="H98" i="21"/>
  <c r="A86" i="21"/>
  <c r="V224" i="20"/>
  <c r="S225" i="20"/>
  <c r="V188" i="20" l="1"/>
  <c r="S229" i="20"/>
  <c r="A87" i="21"/>
  <c r="V225" i="20"/>
  <c r="H99" i="21"/>
  <c r="V189" i="20" l="1"/>
  <c r="S322" i="20"/>
  <c r="H100" i="21"/>
  <c r="A88" i="21"/>
  <c r="S330" i="20"/>
  <c r="V190" i="20" l="1"/>
  <c r="I25" i="21"/>
  <c r="I27" i="21"/>
  <c r="I26" i="21"/>
  <c r="M26" i="21" s="1"/>
  <c r="V215" i="20"/>
  <c r="I98" i="21"/>
  <c r="M98" i="21" s="1"/>
  <c r="A89" i="21"/>
  <c r="I99" i="21"/>
  <c r="M99" i="21" s="1"/>
  <c r="H101" i="21"/>
  <c r="I100" i="21"/>
  <c r="M100" i="21" s="1"/>
  <c r="I29" i="21"/>
  <c r="M29" i="21" s="1"/>
  <c r="I31" i="21"/>
  <c r="M31" i="21" s="1"/>
  <c r="I36" i="21"/>
  <c r="M36" i="21" s="1"/>
  <c r="I30" i="21"/>
  <c r="M30" i="21" s="1"/>
  <c r="I33" i="21"/>
  <c r="M33" i="21" s="1"/>
  <c r="I28" i="21"/>
  <c r="M28" i="21" s="1"/>
  <c r="I32" i="21"/>
  <c r="M32" i="21" s="1"/>
  <c r="I34" i="21"/>
  <c r="M34" i="21" s="1"/>
  <c r="I35" i="21"/>
  <c r="M35" i="21" s="1"/>
  <c r="I39" i="21"/>
  <c r="M39" i="21" s="1"/>
  <c r="I37" i="21"/>
  <c r="M37" i="21" s="1"/>
  <c r="I38" i="21"/>
  <c r="M38" i="21" s="1"/>
  <c r="I40" i="21"/>
  <c r="M40" i="21" s="1"/>
  <c r="I42" i="21"/>
  <c r="M42" i="21" s="1"/>
  <c r="I43" i="21"/>
  <c r="M43" i="21" s="1"/>
  <c r="I41" i="21"/>
  <c r="M41" i="21" s="1"/>
  <c r="I45" i="21"/>
  <c r="M45" i="21" s="1"/>
  <c r="I44" i="21"/>
  <c r="M44" i="21" s="1"/>
  <c r="I48" i="21"/>
  <c r="M48" i="21" s="1"/>
  <c r="I46" i="21"/>
  <c r="M46" i="21" s="1"/>
  <c r="I47" i="21"/>
  <c r="M47" i="21" s="1"/>
  <c r="I51" i="21"/>
  <c r="M51" i="21" s="1"/>
  <c r="I49" i="21"/>
  <c r="M49" i="21" s="1"/>
  <c r="I50" i="21"/>
  <c r="M50" i="21" s="1"/>
  <c r="I53" i="21"/>
  <c r="M53" i="21" s="1"/>
  <c r="I54" i="21"/>
  <c r="M54" i="21" s="1"/>
  <c r="I52" i="21"/>
  <c r="M52" i="21" s="1"/>
  <c r="I55" i="21"/>
  <c r="M55" i="21" s="1"/>
  <c r="I57" i="21"/>
  <c r="M57" i="21" s="1"/>
  <c r="I56" i="21"/>
  <c r="M56" i="21" s="1"/>
  <c r="I58" i="21"/>
  <c r="M58" i="21" s="1"/>
  <c r="I59" i="21"/>
  <c r="M59" i="21" s="1"/>
  <c r="I62" i="21"/>
  <c r="M62" i="21" s="1"/>
  <c r="I60" i="21"/>
  <c r="M60" i="21" s="1"/>
  <c r="I61" i="21"/>
  <c r="M61" i="21" s="1"/>
  <c r="I63" i="21"/>
  <c r="M63" i="21" s="1"/>
  <c r="I65" i="21"/>
  <c r="M65" i="21" s="1"/>
  <c r="I64" i="21"/>
  <c r="M64" i="21" s="1"/>
  <c r="I66" i="21"/>
  <c r="M66" i="21" s="1"/>
  <c r="I69" i="21"/>
  <c r="M69" i="21" s="1"/>
  <c r="I70" i="21"/>
  <c r="M70" i="21" s="1"/>
  <c r="I68" i="21"/>
  <c r="M68" i="21" s="1"/>
  <c r="I67" i="21"/>
  <c r="M67" i="21" s="1"/>
  <c r="I71" i="21"/>
  <c r="M71" i="21" s="1"/>
  <c r="I77" i="21"/>
  <c r="M77" i="21" s="1"/>
  <c r="I75" i="21"/>
  <c r="M75" i="21" s="1"/>
  <c r="I72" i="21"/>
  <c r="M72" i="21" s="1"/>
  <c r="I73" i="21"/>
  <c r="M73" i="21" s="1"/>
  <c r="I74" i="21"/>
  <c r="M74" i="21" s="1"/>
  <c r="I80" i="21"/>
  <c r="M80" i="21" s="1"/>
  <c r="I76" i="21"/>
  <c r="M76" i="21" s="1"/>
  <c r="I78" i="21"/>
  <c r="M78" i="21" s="1"/>
  <c r="I79" i="21"/>
  <c r="M79" i="21" s="1"/>
  <c r="I81" i="21"/>
  <c r="M81" i="21" s="1"/>
  <c r="I82" i="21"/>
  <c r="M82" i="21" s="1"/>
  <c r="I83" i="21"/>
  <c r="M83" i="21" s="1"/>
  <c r="I85" i="21"/>
  <c r="M85" i="21" s="1"/>
  <c r="I84" i="21"/>
  <c r="M84" i="21" s="1"/>
  <c r="I87" i="21"/>
  <c r="M87" i="21" s="1"/>
  <c r="I89" i="21"/>
  <c r="M89" i="21" s="1"/>
  <c r="I86" i="21"/>
  <c r="M86" i="21" s="1"/>
  <c r="I88" i="21"/>
  <c r="M88" i="21" s="1"/>
  <c r="I90" i="21"/>
  <c r="M90" i="21" s="1"/>
  <c r="I92" i="21"/>
  <c r="M92" i="21" s="1"/>
  <c r="I91" i="21"/>
  <c r="M91" i="21" s="1"/>
  <c r="I95" i="21"/>
  <c r="M95" i="21" s="1"/>
  <c r="I93" i="21"/>
  <c r="M93" i="21" s="1"/>
  <c r="I94" i="21"/>
  <c r="M94" i="21" s="1"/>
  <c r="I96" i="21"/>
  <c r="M96" i="21" s="1"/>
  <c r="I97" i="21"/>
  <c r="M97" i="21" s="1"/>
  <c r="K27" i="21" l="1"/>
  <c r="M27" i="21"/>
  <c r="L25" i="21"/>
  <c r="M25" i="21"/>
  <c r="J25" i="21"/>
  <c r="K25" i="21"/>
  <c r="J27" i="21"/>
  <c r="L27" i="21"/>
  <c r="L26" i="21"/>
  <c r="K26" i="21"/>
  <c r="J26" i="21"/>
  <c r="K98" i="21"/>
  <c r="L98" i="21"/>
  <c r="J98" i="21"/>
  <c r="V216" i="20"/>
  <c r="K93" i="21"/>
  <c r="L93" i="21"/>
  <c r="J93" i="21"/>
  <c r="K61" i="21"/>
  <c r="L61" i="21"/>
  <c r="J61" i="21"/>
  <c r="L80" i="21"/>
  <c r="J80" i="21"/>
  <c r="K80" i="21"/>
  <c r="K60" i="21"/>
  <c r="L60" i="21"/>
  <c r="J60" i="21"/>
  <c r="K44" i="21"/>
  <c r="L44" i="21"/>
  <c r="J44" i="21"/>
  <c r="K85" i="21"/>
  <c r="J85" i="21"/>
  <c r="L85" i="21"/>
  <c r="L74" i="21"/>
  <c r="K74" i="21"/>
  <c r="J74" i="21"/>
  <c r="K70" i="21"/>
  <c r="L70" i="21"/>
  <c r="J70" i="21"/>
  <c r="K62" i="21"/>
  <c r="L62" i="21"/>
  <c r="J62" i="21"/>
  <c r="K53" i="21"/>
  <c r="L53" i="21"/>
  <c r="J53" i="21"/>
  <c r="K45" i="21"/>
  <c r="L45" i="21"/>
  <c r="J45" i="21"/>
  <c r="K35" i="21"/>
  <c r="L35" i="21"/>
  <c r="J35" i="21"/>
  <c r="K29" i="21"/>
  <c r="L29" i="21"/>
  <c r="J29" i="21"/>
  <c r="K52" i="21"/>
  <c r="L52" i="21"/>
  <c r="J52" i="21"/>
  <c r="K95" i="21"/>
  <c r="L95" i="21"/>
  <c r="J95" i="21"/>
  <c r="K68" i="21"/>
  <c r="L68" i="21"/>
  <c r="J68" i="21"/>
  <c r="K54" i="21"/>
  <c r="L54" i="21"/>
  <c r="J54" i="21"/>
  <c r="K39" i="21"/>
  <c r="L39" i="21"/>
  <c r="J39" i="21"/>
  <c r="K31" i="21"/>
  <c r="L31" i="21"/>
  <c r="J31" i="21"/>
  <c r="K91" i="21"/>
  <c r="L91" i="21"/>
  <c r="J91" i="21"/>
  <c r="K92" i="21"/>
  <c r="L92" i="21"/>
  <c r="J92" i="21"/>
  <c r="K83" i="21"/>
  <c r="L83" i="21"/>
  <c r="J83" i="21"/>
  <c r="K73" i="21"/>
  <c r="L73" i="21"/>
  <c r="J73" i="21"/>
  <c r="K69" i="21"/>
  <c r="L69" i="21"/>
  <c r="J69" i="21"/>
  <c r="K59" i="21"/>
  <c r="L59" i="21"/>
  <c r="J59" i="21"/>
  <c r="L50" i="21"/>
  <c r="K50" i="21"/>
  <c r="J50" i="21"/>
  <c r="K41" i="21"/>
  <c r="L41" i="21"/>
  <c r="J41" i="21"/>
  <c r="L34" i="21"/>
  <c r="K34" i="21"/>
  <c r="J34" i="21"/>
  <c r="K100" i="21"/>
  <c r="L100" i="21"/>
  <c r="J100" i="21"/>
  <c r="A90" i="21"/>
  <c r="K76" i="21"/>
  <c r="L76" i="21"/>
  <c r="J76" i="21"/>
  <c r="K37" i="21"/>
  <c r="J37" i="21"/>
  <c r="L37" i="21"/>
  <c r="L90" i="21"/>
  <c r="K90" i="21"/>
  <c r="J90" i="21"/>
  <c r="L66" i="21"/>
  <c r="K66" i="21"/>
  <c r="J66" i="21"/>
  <c r="K43" i="21"/>
  <c r="L43" i="21"/>
  <c r="J43" i="21"/>
  <c r="H102" i="21"/>
  <c r="I101" i="21"/>
  <c r="M101" i="21" s="1"/>
  <c r="K97" i="21"/>
  <c r="L97" i="21"/>
  <c r="J97" i="21"/>
  <c r="L88" i="21"/>
  <c r="K88" i="21"/>
  <c r="J88" i="21"/>
  <c r="K81" i="21"/>
  <c r="L81" i="21"/>
  <c r="J81" i="21"/>
  <c r="K75" i="21"/>
  <c r="L75" i="21"/>
  <c r="J75" i="21"/>
  <c r="L64" i="21"/>
  <c r="J64" i="21"/>
  <c r="K64" i="21"/>
  <c r="L56" i="21"/>
  <c r="K56" i="21"/>
  <c r="J56" i="21"/>
  <c r="K51" i="21"/>
  <c r="L51" i="21"/>
  <c r="J51" i="21"/>
  <c r="L42" i="21"/>
  <c r="K42" i="21"/>
  <c r="J42" i="21"/>
  <c r="K28" i="21"/>
  <c r="L28" i="21"/>
  <c r="J28" i="21"/>
  <c r="K99" i="21"/>
  <c r="L99" i="21"/>
  <c r="J99" i="21"/>
  <c r="K67" i="21"/>
  <c r="L67" i="21"/>
  <c r="J67" i="21"/>
  <c r="K36" i="21"/>
  <c r="L36" i="21"/>
  <c r="J36" i="21"/>
  <c r="L82" i="21"/>
  <c r="K82" i="21"/>
  <c r="J82" i="21"/>
  <c r="L58" i="21"/>
  <c r="K58" i="21"/>
  <c r="J58" i="21"/>
  <c r="L32" i="21"/>
  <c r="K32" i="21"/>
  <c r="J32" i="21"/>
  <c r="L96" i="21"/>
  <c r="J96" i="21"/>
  <c r="K96" i="21"/>
  <c r="K86" i="21"/>
  <c r="L86" i="21"/>
  <c r="J86" i="21"/>
  <c r="K79" i="21"/>
  <c r="L79" i="21"/>
  <c r="J79" i="21"/>
  <c r="K77" i="21"/>
  <c r="L77" i="21"/>
  <c r="J77" i="21"/>
  <c r="K65" i="21"/>
  <c r="L65" i="21"/>
  <c r="J65" i="21"/>
  <c r="K57" i="21"/>
  <c r="L57" i="21"/>
  <c r="J57" i="21"/>
  <c r="K47" i="21"/>
  <c r="L47" i="21"/>
  <c r="J47" i="21"/>
  <c r="L40" i="21"/>
  <c r="K40" i="21"/>
  <c r="J40" i="21"/>
  <c r="K33" i="21"/>
  <c r="L33" i="21"/>
  <c r="J33" i="21"/>
  <c r="K87" i="21"/>
  <c r="L87" i="21"/>
  <c r="J87" i="21"/>
  <c r="L48" i="21"/>
  <c r="K48" i="21"/>
  <c r="J48" i="21"/>
  <c r="K84" i="21"/>
  <c r="L84" i="21"/>
  <c r="J84" i="21"/>
  <c r="L72" i="21"/>
  <c r="K72" i="21"/>
  <c r="J72" i="21"/>
  <c r="K49" i="21"/>
  <c r="L49" i="21"/>
  <c r="J49" i="21"/>
  <c r="K94" i="21"/>
  <c r="L94" i="21"/>
  <c r="J94" i="21"/>
  <c r="K89" i="21"/>
  <c r="L89" i="21"/>
  <c r="J89" i="21"/>
  <c r="K78" i="21"/>
  <c r="L78" i="21"/>
  <c r="J78" i="21"/>
  <c r="K71" i="21"/>
  <c r="L71" i="21"/>
  <c r="J71" i="21"/>
  <c r="K63" i="21"/>
  <c r="L63" i="21"/>
  <c r="J63" i="21"/>
  <c r="K55" i="21"/>
  <c r="J55" i="21"/>
  <c r="L55" i="21"/>
  <c r="K46" i="21"/>
  <c r="L46" i="21"/>
  <c r="J46" i="21"/>
  <c r="K38" i="21"/>
  <c r="L38" i="21"/>
  <c r="J38" i="21"/>
  <c r="K30" i="21"/>
  <c r="L30" i="21"/>
  <c r="J30" i="21"/>
  <c r="V217" i="20" l="1"/>
  <c r="H103" i="21"/>
  <c r="I102" i="21"/>
  <c r="M102" i="21" s="1"/>
  <c r="K101" i="21"/>
  <c r="L101" i="21"/>
  <c r="J101" i="21"/>
  <c r="A91" i="21"/>
  <c r="V218" i="20" l="1"/>
  <c r="V242" i="20"/>
  <c r="A92" i="21"/>
  <c r="K102" i="21"/>
  <c r="L102" i="21"/>
  <c r="J102" i="21"/>
  <c r="H104" i="21"/>
  <c r="I103" i="21"/>
  <c r="M103" i="21" s="1"/>
  <c r="V243" i="20" l="1"/>
  <c r="K103" i="21"/>
  <c r="L103" i="21"/>
  <c r="J103" i="21"/>
  <c r="H105" i="21"/>
  <c r="I104" i="21"/>
  <c r="M104" i="21" s="1"/>
  <c r="A93" i="21"/>
  <c r="V244" i="20" l="1"/>
  <c r="V249" i="20"/>
  <c r="L104" i="21"/>
  <c r="K104" i="21"/>
  <c r="J104" i="21"/>
  <c r="H106" i="21"/>
  <c r="I105" i="21"/>
  <c r="M105" i="21" s="1"/>
  <c r="A94" i="21"/>
  <c r="V250" i="20" l="1"/>
  <c r="V253" i="20"/>
  <c r="K105" i="21"/>
  <c r="L105" i="21"/>
  <c r="J105" i="21"/>
  <c r="H107" i="21"/>
  <c r="I106" i="21"/>
  <c r="M106" i="21" s="1"/>
  <c r="A95" i="21"/>
  <c r="V254" i="20" l="1"/>
  <c r="A96" i="21"/>
  <c r="L106" i="21"/>
  <c r="J106" i="21"/>
  <c r="K106" i="21"/>
  <c r="H108" i="21"/>
  <c r="I107" i="21"/>
  <c r="M107" i="21" s="1"/>
  <c r="V255" i="20" l="1"/>
  <c r="K107" i="21"/>
  <c r="L107" i="21"/>
  <c r="J107" i="21"/>
  <c r="H109" i="21"/>
  <c r="I108" i="21"/>
  <c r="M108" i="21" s="1"/>
  <c r="A97" i="21"/>
  <c r="V256" i="20" l="1"/>
  <c r="V266" i="20"/>
  <c r="K108" i="21"/>
  <c r="L108" i="21"/>
  <c r="J108" i="21"/>
  <c r="H110" i="21"/>
  <c r="I109" i="21"/>
  <c r="M109" i="21" s="1"/>
  <c r="A98" i="21"/>
  <c r="V267" i="20" l="1"/>
  <c r="V272" i="20"/>
  <c r="A99" i="21"/>
  <c r="K109" i="21"/>
  <c r="L109" i="21"/>
  <c r="J109" i="21"/>
  <c r="H111" i="21"/>
  <c r="I110" i="21"/>
  <c r="M110" i="21" s="1"/>
  <c r="V273" i="20" l="1"/>
  <c r="V295" i="20"/>
  <c r="K110" i="21"/>
  <c r="L110" i="21"/>
  <c r="J110" i="21"/>
  <c r="A100" i="21"/>
  <c r="H112" i="21"/>
  <c r="I111" i="21"/>
  <c r="M111" i="21" s="1"/>
  <c r="V296" i="20" l="1"/>
  <c r="K111" i="21"/>
  <c r="L111" i="21"/>
  <c r="J111" i="21"/>
  <c r="H113" i="21"/>
  <c r="I112" i="21"/>
  <c r="M112" i="21" s="1"/>
  <c r="A101" i="21"/>
  <c r="V297" i="20" l="1"/>
  <c r="V304" i="20"/>
  <c r="A102" i="21"/>
  <c r="L112" i="21"/>
  <c r="J112" i="21"/>
  <c r="K112" i="21"/>
  <c r="H114" i="21"/>
  <c r="I113" i="21"/>
  <c r="M113" i="21" s="1"/>
  <c r="V305" i="20" l="1"/>
  <c r="A103" i="21"/>
  <c r="K113" i="21"/>
  <c r="L113" i="21"/>
  <c r="J113" i="21"/>
  <c r="H115" i="21"/>
  <c r="I114" i="21"/>
  <c r="M114" i="21" s="1"/>
  <c r="V306" i="20" l="1"/>
  <c r="L114" i="21"/>
  <c r="K114" i="21"/>
  <c r="J114" i="21"/>
  <c r="H116" i="21"/>
  <c r="I115" i="21"/>
  <c r="M115" i="21" s="1"/>
  <c r="A104" i="21"/>
  <c r="V307" i="20" l="1"/>
  <c r="V309" i="20"/>
  <c r="K115" i="21"/>
  <c r="L115" i="21"/>
  <c r="J115" i="21"/>
  <c r="A105" i="21"/>
  <c r="H117" i="21"/>
  <c r="I116" i="21"/>
  <c r="M116" i="21" s="1"/>
  <c r="V310" i="20" l="1"/>
  <c r="H118" i="21"/>
  <c r="I117" i="21"/>
  <c r="M117" i="21" s="1"/>
  <c r="A106" i="21"/>
  <c r="K116" i="21"/>
  <c r="L116" i="21"/>
  <c r="J116" i="21"/>
  <c r="V311" i="20" l="1"/>
  <c r="H119" i="21"/>
  <c r="I118" i="21"/>
  <c r="M118" i="21" s="1"/>
  <c r="A107" i="21"/>
  <c r="K117" i="21"/>
  <c r="L117" i="21"/>
  <c r="J117" i="21"/>
  <c r="V312" i="20" l="1"/>
  <c r="A108" i="21"/>
  <c r="L118" i="21"/>
  <c r="K118" i="21"/>
  <c r="J118" i="21"/>
  <c r="H120" i="21"/>
  <c r="I119" i="21"/>
  <c r="M119" i="21" s="1"/>
  <c r="V313" i="20" l="1"/>
  <c r="V314" i="20"/>
  <c r="A109" i="21"/>
  <c r="K119" i="21"/>
  <c r="L119" i="21"/>
  <c r="J119" i="21"/>
  <c r="H121" i="21"/>
  <c r="I120" i="21"/>
  <c r="M120" i="21" s="1"/>
  <c r="V315" i="20" l="1"/>
  <c r="A110" i="21"/>
  <c r="H122" i="21"/>
  <c r="I121" i="21"/>
  <c r="M121" i="21" s="1"/>
  <c r="K120" i="21"/>
  <c r="J120" i="21"/>
  <c r="L120" i="21"/>
  <c r="V316" i="20" l="1"/>
  <c r="K121" i="21"/>
  <c r="L121" i="21"/>
  <c r="J121" i="21"/>
  <c r="H123" i="21"/>
  <c r="I122" i="21"/>
  <c r="M122" i="21" s="1"/>
  <c r="A111" i="21"/>
  <c r="V317" i="20" l="1"/>
  <c r="V319" i="20"/>
  <c r="L122" i="21"/>
  <c r="K122" i="21"/>
  <c r="J122" i="21"/>
  <c r="A112" i="21"/>
  <c r="H124" i="21"/>
  <c r="I123" i="21"/>
  <c r="M123" i="21" s="1"/>
  <c r="V320" i="20" l="1"/>
  <c r="L123" i="21"/>
  <c r="J123" i="21"/>
  <c r="K123" i="21"/>
  <c r="H125" i="21"/>
  <c r="I124" i="21"/>
  <c r="M124" i="21" s="1"/>
  <c r="A113" i="21"/>
  <c r="V321" i="20" l="1"/>
  <c r="V327" i="20"/>
  <c r="A114" i="21"/>
  <c r="K124" i="21"/>
  <c r="L124" i="21"/>
  <c r="J124" i="21"/>
  <c r="H126" i="21"/>
  <c r="I125" i="21"/>
  <c r="M125" i="21" s="1"/>
  <c r="V328" i="20" l="1"/>
  <c r="K125" i="21"/>
  <c r="L125" i="21"/>
  <c r="J125" i="21"/>
  <c r="A115" i="21"/>
  <c r="H127" i="21"/>
  <c r="I126" i="21"/>
  <c r="M126" i="21" s="1"/>
  <c r="V329" i="20" l="1"/>
  <c r="L126" i="21"/>
  <c r="K126" i="21"/>
  <c r="J126" i="21"/>
  <c r="H128" i="21"/>
  <c r="I127" i="21"/>
  <c r="M127" i="21" s="1"/>
  <c r="A116" i="21"/>
  <c r="V330" i="20" l="1"/>
  <c r="K127" i="21"/>
  <c r="L127" i="21"/>
  <c r="J127" i="21"/>
  <c r="H129" i="21"/>
  <c r="I128" i="21"/>
  <c r="M128" i="21" s="1"/>
  <c r="A117" i="21"/>
  <c r="V331" i="20" l="1"/>
  <c r="J128" i="21"/>
  <c r="K128" i="21"/>
  <c r="L128" i="21"/>
  <c r="H130" i="21"/>
  <c r="I129" i="21"/>
  <c r="M129" i="21" s="1"/>
  <c r="A118" i="21"/>
  <c r="B117" i="21"/>
  <c r="F117" i="21" s="1"/>
  <c r="B110" i="21" l="1"/>
  <c r="F110" i="21" s="1"/>
  <c r="B25" i="21"/>
  <c r="F25" i="21" s="1"/>
  <c r="B115" i="21"/>
  <c r="B38" i="21"/>
  <c r="B26" i="21"/>
  <c r="F26" i="21" s="1"/>
  <c r="B66" i="21"/>
  <c r="F66" i="21" s="1"/>
  <c r="B113" i="21"/>
  <c r="B84" i="21"/>
  <c r="F84" i="21" s="1"/>
  <c r="B50" i="21"/>
  <c r="B82" i="21"/>
  <c r="B27" i="21"/>
  <c r="B81" i="21"/>
  <c r="F81" i="21" s="1"/>
  <c r="B28" i="21"/>
  <c r="B107" i="21"/>
  <c r="F107" i="21" s="1"/>
  <c r="B47" i="21"/>
  <c r="B54" i="21"/>
  <c r="B96" i="21"/>
  <c r="B76" i="21"/>
  <c r="B69" i="21"/>
  <c r="B31" i="21"/>
  <c r="B93" i="21"/>
  <c r="B58" i="21"/>
  <c r="F58" i="21" s="1"/>
  <c r="B35" i="21"/>
  <c r="B106" i="21"/>
  <c r="B70" i="21"/>
  <c r="B71" i="21"/>
  <c r="B91" i="21"/>
  <c r="B68" i="21"/>
  <c r="F68" i="21" s="1"/>
  <c r="B95" i="21"/>
  <c r="B40" i="21"/>
  <c r="B78" i="21"/>
  <c r="B60" i="21"/>
  <c r="F60" i="21" s="1"/>
  <c r="B108" i="21"/>
  <c r="B34" i="21"/>
  <c r="B104" i="21"/>
  <c r="F104" i="21" s="1"/>
  <c r="B83" i="21"/>
  <c r="B98" i="21"/>
  <c r="B111" i="21"/>
  <c r="B39" i="21"/>
  <c r="B94" i="21"/>
  <c r="B61" i="21"/>
  <c r="F61" i="21" s="1"/>
  <c r="B32" i="21"/>
  <c r="B109" i="21"/>
  <c r="B86" i="21"/>
  <c r="B77" i="21"/>
  <c r="F77" i="21" s="1"/>
  <c r="B57" i="21"/>
  <c r="B29" i="21"/>
  <c r="F29" i="21" s="1"/>
  <c r="B56" i="21"/>
  <c r="B74" i="21"/>
  <c r="B67" i="21"/>
  <c r="B92" i="21"/>
  <c r="B46" i="21"/>
  <c r="B73" i="21"/>
  <c r="B30" i="21"/>
  <c r="B37" i="21"/>
  <c r="B75" i="21"/>
  <c r="F75" i="21" s="1"/>
  <c r="B85" i="21"/>
  <c r="B33" i="21"/>
  <c r="B72" i="21"/>
  <c r="B87" i="21"/>
  <c r="B100" i="21"/>
  <c r="B88" i="21"/>
  <c r="B55" i="21"/>
  <c r="F55" i="21" s="1"/>
  <c r="B62" i="21"/>
  <c r="B103" i="21"/>
  <c r="B97" i="21"/>
  <c r="B99" i="21"/>
  <c r="B52" i="21"/>
  <c r="F52" i="21" s="1"/>
  <c r="B43" i="21"/>
  <c r="F43" i="21" s="1"/>
  <c r="B105" i="21"/>
  <c r="F105" i="21" s="1"/>
  <c r="B45" i="21"/>
  <c r="B41" i="21"/>
  <c r="F41" i="21" s="1"/>
  <c r="B102" i="21"/>
  <c r="B59" i="21"/>
  <c r="B101" i="21"/>
  <c r="B36" i="21"/>
  <c r="F36" i="21" s="1"/>
  <c r="B90" i="21"/>
  <c r="B116" i="21"/>
  <c r="B44" i="21"/>
  <c r="B114" i="21"/>
  <c r="B79" i="21"/>
  <c r="B51" i="21"/>
  <c r="B80" i="21"/>
  <c r="B42" i="21"/>
  <c r="F42" i="21" s="1"/>
  <c r="B64" i="21"/>
  <c r="B53" i="21"/>
  <c r="B112" i="21"/>
  <c r="B63" i="21"/>
  <c r="B89" i="21"/>
  <c r="B49" i="21"/>
  <c r="B65" i="21"/>
  <c r="B48" i="21"/>
  <c r="F48" i="21" s="1"/>
  <c r="K129" i="21"/>
  <c r="L129" i="21"/>
  <c r="J129" i="21"/>
  <c r="H131" i="21"/>
  <c r="I130" i="21"/>
  <c r="M130" i="21" s="1"/>
  <c r="E117" i="21"/>
  <c r="D117" i="21"/>
  <c r="C117" i="21"/>
  <c r="A119" i="21"/>
  <c r="B118" i="21"/>
  <c r="F118" i="21" s="1"/>
  <c r="E110" i="21" l="1"/>
  <c r="C110" i="21"/>
  <c r="D110" i="21"/>
  <c r="E114" i="21"/>
  <c r="F114" i="21"/>
  <c r="D44" i="21"/>
  <c r="F44" i="21"/>
  <c r="C72" i="21"/>
  <c r="F72" i="21"/>
  <c r="E39" i="21"/>
  <c r="F39" i="21"/>
  <c r="E69" i="21"/>
  <c r="F69" i="21"/>
  <c r="D111" i="21"/>
  <c r="F111" i="21"/>
  <c r="D76" i="21"/>
  <c r="F76" i="21"/>
  <c r="D85" i="21"/>
  <c r="F85" i="21"/>
  <c r="D98" i="21"/>
  <c r="F98" i="21"/>
  <c r="D96" i="21"/>
  <c r="F96" i="21"/>
  <c r="D83" i="21"/>
  <c r="F83" i="21"/>
  <c r="E54" i="21"/>
  <c r="F54" i="21"/>
  <c r="C116" i="21"/>
  <c r="F116" i="21"/>
  <c r="D47" i="21"/>
  <c r="F47" i="21"/>
  <c r="D30" i="21"/>
  <c r="F30" i="21"/>
  <c r="E34" i="21"/>
  <c r="F34" i="21"/>
  <c r="C102" i="21"/>
  <c r="F102" i="21"/>
  <c r="E73" i="21"/>
  <c r="F73" i="21"/>
  <c r="C108" i="21"/>
  <c r="F108" i="21"/>
  <c r="E28" i="21"/>
  <c r="F28" i="21"/>
  <c r="E31" i="21"/>
  <c r="F31" i="21"/>
  <c r="D37" i="21"/>
  <c r="F37" i="21"/>
  <c r="C90" i="21"/>
  <c r="F90" i="21"/>
  <c r="D67" i="21"/>
  <c r="F67" i="21"/>
  <c r="C40" i="21"/>
  <c r="F40" i="21"/>
  <c r="C82" i="21"/>
  <c r="F82" i="21"/>
  <c r="E95" i="21"/>
  <c r="F95" i="21"/>
  <c r="E50" i="21"/>
  <c r="F50" i="21"/>
  <c r="C78" i="21"/>
  <c r="F78" i="21"/>
  <c r="E113" i="21"/>
  <c r="F113" i="21"/>
  <c r="C65" i="21"/>
  <c r="F65" i="21"/>
  <c r="C112" i="21"/>
  <c r="F112" i="21"/>
  <c r="C71" i="21"/>
  <c r="F71" i="21"/>
  <c r="C101" i="21"/>
  <c r="F101" i="21"/>
  <c r="C46" i="21"/>
  <c r="F46" i="21"/>
  <c r="E56" i="21"/>
  <c r="F56" i="21"/>
  <c r="E103" i="21"/>
  <c r="F103" i="21"/>
  <c r="D70" i="21"/>
  <c r="F70" i="21"/>
  <c r="D87" i="21"/>
  <c r="F87" i="21"/>
  <c r="D59" i="21"/>
  <c r="F59" i="21"/>
  <c r="C45" i="21"/>
  <c r="F45" i="21"/>
  <c r="C49" i="21"/>
  <c r="F49" i="21"/>
  <c r="C99" i="21"/>
  <c r="F99" i="21"/>
  <c r="D97" i="21"/>
  <c r="F97" i="21"/>
  <c r="C64" i="21"/>
  <c r="F64" i="21"/>
  <c r="C62" i="21"/>
  <c r="F62" i="21"/>
  <c r="C86" i="21"/>
  <c r="F86" i="21"/>
  <c r="E106" i="21"/>
  <c r="F106" i="21"/>
  <c r="C38" i="21"/>
  <c r="F38" i="21"/>
  <c r="D89" i="21"/>
  <c r="F89" i="21"/>
  <c r="E63" i="21"/>
  <c r="F63" i="21"/>
  <c r="E91" i="21"/>
  <c r="F91" i="21"/>
  <c r="E57" i="21"/>
  <c r="F57" i="21"/>
  <c r="D80" i="21"/>
  <c r="F80" i="21"/>
  <c r="D109" i="21"/>
  <c r="F109" i="21"/>
  <c r="D35" i="21"/>
  <c r="F35" i="21"/>
  <c r="E115" i="21"/>
  <c r="F115" i="21"/>
  <c r="C33" i="21"/>
  <c r="F33" i="21"/>
  <c r="E92" i="21"/>
  <c r="F92" i="21"/>
  <c r="C74" i="21"/>
  <c r="F74" i="21"/>
  <c r="E53" i="21"/>
  <c r="F53" i="21"/>
  <c r="D51" i="21"/>
  <c r="F51" i="21"/>
  <c r="D88" i="21"/>
  <c r="F88" i="21"/>
  <c r="E32" i="21"/>
  <c r="F32" i="21"/>
  <c r="E94" i="21"/>
  <c r="F94" i="21"/>
  <c r="E27" i="21"/>
  <c r="F27" i="21"/>
  <c r="E79" i="21"/>
  <c r="F79" i="21"/>
  <c r="E100" i="21"/>
  <c r="F100" i="21"/>
  <c r="E93" i="21"/>
  <c r="F93" i="21"/>
  <c r="E38" i="21"/>
  <c r="D38" i="21"/>
  <c r="E26" i="21"/>
  <c r="C26" i="21"/>
  <c r="D26" i="21"/>
  <c r="D25" i="21"/>
  <c r="C25" i="21"/>
  <c r="E25" i="21"/>
  <c r="D66" i="21"/>
  <c r="C115" i="21"/>
  <c r="D115" i="21"/>
  <c r="E66" i="21"/>
  <c r="C66" i="21"/>
  <c r="D84" i="21"/>
  <c r="E84" i="21"/>
  <c r="C84" i="21"/>
  <c r="D50" i="21"/>
  <c r="C50" i="21"/>
  <c r="D82" i="21"/>
  <c r="E82" i="21"/>
  <c r="C113" i="21"/>
  <c r="D113" i="21"/>
  <c r="D107" i="21"/>
  <c r="E81" i="21"/>
  <c r="C27" i="21"/>
  <c r="D81" i="21"/>
  <c r="C81" i="21"/>
  <c r="C28" i="21"/>
  <c r="D28" i="21"/>
  <c r="D27" i="21"/>
  <c r="D91" i="21"/>
  <c r="C91" i="21"/>
  <c r="C31" i="21"/>
  <c r="D31" i="21"/>
  <c r="E58" i="21"/>
  <c r="C93" i="21"/>
  <c r="E68" i="21"/>
  <c r="D93" i="21"/>
  <c r="C58" i="21"/>
  <c r="D95" i="21"/>
  <c r="C95" i="21"/>
  <c r="C69" i="21"/>
  <c r="D69" i="21"/>
  <c r="D68" i="21"/>
  <c r="C68" i="21"/>
  <c r="D40" i="21"/>
  <c r="C85" i="21"/>
  <c r="E78" i="21"/>
  <c r="E29" i="21"/>
  <c r="E35" i="21"/>
  <c r="E107" i="21"/>
  <c r="C96" i="21"/>
  <c r="C107" i="21"/>
  <c r="E40" i="21"/>
  <c r="C61" i="21"/>
  <c r="E96" i="21"/>
  <c r="D74" i="21"/>
  <c r="E74" i="21"/>
  <c r="D58" i="21"/>
  <c r="E37" i="21"/>
  <c r="D29" i="21"/>
  <c r="C39" i="21"/>
  <c r="C35" i="21"/>
  <c r="C47" i="21"/>
  <c r="E47" i="21"/>
  <c r="E108" i="21"/>
  <c r="D61" i="21"/>
  <c r="E85" i="21"/>
  <c r="D103" i="21"/>
  <c r="E61" i="21"/>
  <c r="D108" i="21"/>
  <c r="E70" i="21"/>
  <c r="C70" i="21"/>
  <c r="C103" i="21"/>
  <c r="D71" i="21"/>
  <c r="E76" i="21"/>
  <c r="E71" i="21"/>
  <c r="C76" i="21"/>
  <c r="D106" i="21"/>
  <c r="C106" i="21"/>
  <c r="D54" i="21"/>
  <c r="C54" i="21"/>
  <c r="D60" i="21"/>
  <c r="D34" i="21"/>
  <c r="D56" i="21"/>
  <c r="D78" i="21"/>
  <c r="C29" i="21"/>
  <c r="E60" i="21"/>
  <c r="E44" i="21"/>
  <c r="C60" i="21"/>
  <c r="D39" i="21"/>
  <c r="C55" i="21"/>
  <c r="C34" i="21"/>
  <c r="E97" i="21"/>
  <c r="E59" i="21"/>
  <c r="E104" i="21"/>
  <c r="E83" i="21"/>
  <c r="C104" i="21"/>
  <c r="E67" i="21"/>
  <c r="C83" i="21"/>
  <c r="C67" i="21"/>
  <c r="D104" i="21"/>
  <c r="E109" i="21"/>
  <c r="C109" i="21"/>
  <c r="D92" i="21"/>
  <c r="E98" i="21"/>
  <c r="D77" i="21"/>
  <c r="C98" i="21"/>
  <c r="D57" i="21"/>
  <c r="C88" i="21"/>
  <c r="D73" i="21"/>
  <c r="C57" i="21"/>
  <c r="C77" i="21"/>
  <c r="E111" i="21"/>
  <c r="E105" i="21"/>
  <c r="E77" i="21"/>
  <c r="E88" i="21"/>
  <c r="E30" i="21"/>
  <c r="D105" i="21"/>
  <c r="C105" i="21"/>
  <c r="C30" i="21"/>
  <c r="C111" i="21"/>
  <c r="C73" i="21"/>
  <c r="E116" i="21"/>
  <c r="C56" i="21"/>
  <c r="C94" i="21"/>
  <c r="D94" i="21"/>
  <c r="D32" i="21"/>
  <c r="D33" i="21"/>
  <c r="C59" i="21"/>
  <c r="C51" i="21"/>
  <c r="C97" i="21"/>
  <c r="C32" i="21"/>
  <c r="E33" i="21"/>
  <c r="C52" i="21"/>
  <c r="E46" i="21"/>
  <c r="E86" i="21"/>
  <c r="C92" i="21"/>
  <c r="D52" i="21"/>
  <c r="C87" i="21"/>
  <c r="D36" i="21"/>
  <c r="D86" i="21"/>
  <c r="E52" i="21"/>
  <c r="E87" i="21"/>
  <c r="E36" i="21"/>
  <c r="D46" i="21"/>
  <c r="C36" i="21"/>
  <c r="D99" i="21"/>
  <c r="C37" i="21"/>
  <c r="D55" i="21"/>
  <c r="E55" i="21"/>
  <c r="D45" i="21"/>
  <c r="D116" i="21"/>
  <c r="C75" i="21"/>
  <c r="E75" i="21"/>
  <c r="D75" i="21"/>
  <c r="E72" i="21"/>
  <c r="D72" i="21"/>
  <c r="E99" i="21"/>
  <c r="E43" i="21"/>
  <c r="D43" i="21"/>
  <c r="C43" i="21"/>
  <c r="D100" i="21"/>
  <c r="C100" i="21"/>
  <c r="E62" i="21"/>
  <c r="D62" i="21"/>
  <c r="C41" i="21"/>
  <c r="D41" i="21"/>
  <c r="E41" i="21"/>
  <c r="C44" i="21"/>
  <c r="E45" i="21"/>
  <c r="D102" i="21"/>
  <c r="E102" i="21"/>
  <c r="E112" i="21"/>
  <c r="D101" i="21"/>
  <c r="E101" i="21"/>
  <c r="D64" i="21"/>
  <c r="E90" i="21"/>
  <c r="D90" i="21"/>
  <c r="E64" i="21"/>
  <c r="C53" i="21"/>
  <c r="D53" i="21"/>
  <c r="D114" i="21"/>
  <c r="C114" i="21"/>
  <c r="D63" i="21"/>
  <c r="D79" i="21"/>
  <c r="C79" i="21"/>
  <c r="E51" i="21"/>
  <c r="C63" i="21"/>
  <c r="D112" i="21"/>
  <c r="C89" i="21"/>
  <c r="E89" i="21"/>
  <c r="C42" i="21"/>
  <c r="D42" i="21"/>
  <c r="E42" i="21"/>
  <c r="E80" i="21"/>
  <c r="C80" i="21"/>
  <c r="E65" i="21"/>
  <c r="E49" i="21"/>
  <c r="D49" i="21"/>
  <c r="D65" i="21"/>
  <c r="E48" i="21"/>
  <c r="C48" i="21"/>
  <c r="D48" i="21"/>
  <c r="C118" i="21"/>
  <c r="D118" i="21"/>
  <c r="E118" i="21"/>
  <c r="A120" i="21"/>
  <c r="B119" i="21"/>
  <c r="F119" i="21" s="1"/>
  <c r="L130" i="21"/>
  <c r="K130" i="21"/>
  <c r="J130" i="21"/>
  <c r="H132" i="21"/>
  <c r="I131" i="21"/>
  <c r="M131" i="21" s="1"/>
  <c r="E119" i="21" l="1"/>
  <c r="C119" i="21"/>
  <c r="D119" i="21"/>
  <c r="A121" i="21"/>
  <c r="B120" i="21"/>
  <c r="F120" i="21" s="1"/>
  <c r="L131" i="21"/>
  <c r="J131" i="21"/>
  <c r="K131" i="21"/>
  <c r="H133" i="21"/>
  <c r="I132" i="21"/>
  <c r="M132" i="21" s="1"/>
  <c r="C120" i="21" l="1"/>
  <c r="D120" i="21"/>
  <c r="E120" i="21"/>
  <c r="B121" i="21"/>
  <c r="F121" i="21" s="1"/>
  <c r="A122" i="21"/>
  <c r="K132" i="21"/>
  <c r="L132" i="21"/>
  <c r="J132" i="21"/>
  <c r="H134" i="21"/>
  <c r="I133" i="21"/>
  <c r="M133" i="21" s="1"/>
  <c r="A123" i="21" l="1"/>
  <c r="B122" i="21"/>
  <c r="F122" i="21" s="1"/>
  <c r="E121" i="21"/>
  <c r="D121" i="21"/>
  <c r="C121" i="21"/>
  <c r="H135" i="21"/>
  <c r="I134" i="21"/>
  <c r="M134" i="21" s="1"/>
  <c r="K133" i="21"/>
  <c r="L133" i="21"/>
  <c r="J133" i="21"/>
  <c r="L134" i="21" l="1"/>
  <c r="K134" i="21"/>
  <c r="J134" i="21"/>
  <c r="H136" i="21"/>
  <c r="I135" i="21"/>
  <c r="M135" i="21" s="1"/>
  <c r="C122" i="21"/>
  <c r="D122" i="21"/>
  <c r="E122" i="21"/>
  <c r="A124" i="21"/>
  <c r="B123" i="21"/>
  <c r="F123" i="21" s="1"/>
  <c r="K135" i="21" l="1"/>
  <c r="L135" i="21"/>
  <c r="J135" i="21"/>
  <c r="H137" i="21"/>
  <c r="I136" i="21"/>
  <c r="M136" i="21" s="1"/>
  <c r="E123" i="21"/>
  <c r="C123" i="21"/>
  <c r="D123" i="21"/>
  <c r="A125" i="21"/>
  <c r="B124" i="21"/>
  <c r="F124" i="21" s="1"/>
  <c r="H138" i="21" l="1"/>
  <c r="I137" i="21"/>
  <c r="M137" i="21" s="1"/>
  <c r="K136" i="21"/>
  <c r="J136" i="21"/>
  <c r="L136" i="21"/>
  <c r="A126" i="21"/>
  <c r="B125" i="21"/>
  <c r="F125" i="21" s="1"/>
  <c r="C124" i="21"/>
  <c r="D124" i="21"/>
  <c r="E124" i="21"/>
  <c r="H139" i="21" l="1"/>
  <c r="I138" i="21"/>
  <c r="M138" i="21" s="1"/>
  <c r="A127" i="21"/>
  <c r="B126" i="21"/>
  <c r="F126" i="21" s="1"/>
  <c r="E125" i="21"/>
  <c r="C125" i="21"/>
  <c r="D125" i="21"/>
  <c r="K137" i="21"/>
  <c r="L137" i="21"/>
  <c r="J137" i="21"/>
  <c r="C126" i="21" l="1"/>
  <c r="D126" i="21"/>
  <c r="E126" i="21"/>
  <c r="B127" i="21"/>
  <c r="F127" i="21" s="1"/>
  <c r="A128" i="21"/>
  <c r="L138" i="21"/>
  <c r="K138" i="21"/>
  <c r="J138" i="21"/>
  <c r="H140" i="21"/>
  <c r="I139" i="21"/>
  <c r="M139" i="21" s="1"/>
  <c r="A129" i="21" l="1"/>
  <c r="B128" i="21"/>
  <c r="F128" i="21" s="1"/>
  <c r="E127" i="21"/>
  <c r="C127" i="21"/>
  <c r="D127" i="21"/>
  <c r="K139" i="21"/>
  <c r="J139" i="21"/>
  <c r="L139" i="21"/>
  <c r="H141" i="21"/>
  <c r="I140" i="21"/>
  <c r="M140" i="21" s="1"/>
  <c r="K140" i="21" l="1"/>
  <c r="L140" i="21"/>
  <c r="J140" i="21"/>
  <c r="H142" i="21"/>
  <c r="I141" i="21"/>
  <c r="M141" i="21" s="1"/>
  <c r="C128" i="21"/>
  <c r="D128" i="21"/>
  <c r="E128" i="21"/>
  <c r="A130" i="21"/>
  <c r="B129" i="21"/>
  <c r="F129" i="21" s="1"/>
  <c r="K141" i="21" l="1"/>
  <c r="L141" i="21"/>
  <c r="J141" i="21"/>
  <c r="H143" i="21"/>
  <c r="I142" i="21"/>
  <c r="M142" i="21" s="1"/>
  <c r="E129" i="21"/>
  <c r="D129" i="21"/>
  <c r="C129" i="21"/>
  <c r="A131" i="21"/>
  <c r="B130" i="21"/>
  <c r="F130" i="21" s="1"/>
  <c r="L142" i="21" l="1"/>
  <c r="K142" i="21"/>
  <c r="J142" i="21"/>
  <c r="H144" i="21"/>
  <c r="I143" i="21"/>
  <c r="M143" i="21" s="1"/>
  <c r="C130" i="21"/>
  <c r="D130" i="21"/>
  <c r="E130" i="21"/>
  <c r="A132" i="21"/>
  <c r="B131" i="21"/>
  <c r="F131" i="21" s="1"/>
  <c r="K143" i="21" l="1"/>
  <c r="L143" i="21"/>
  <c r="J143" i="21"/>
  <c r="H145" i="21"/>
  <c r="I144" i="21"/>
  <c r="M144" i="21" s="1"/>
  <c r="E131" i="21"/>
  <c r="C131" i="21"/>
  <c r="D131" i="21"/>
  <c r="A133" i="21"/>
  <c r="B132" i="21"/>
  <c r="F132" i="21" s="1"/>
  <c r="J144" i="21" l="1"/>
  <c r="K144" i="21"/>
  <c r="L144" i="21"/>
  <c r="H146" i="21"/>
  <c r="I145" i="21"/>
  <c r="M145" i="21" s="1"/>
  <c r="C132" i="21"/>
  <c r="D132" i="21"/>
  <c r="E132" i="21"/>
  <c r="A134" i="21"/>
  <c r="B133" i="21"/>
  <c r="F133" i="21" s="1"/>
  <c r="K145" i="21" l="1"/>
  <c r="L145" i="21"/>
  <c r="J145" i="21"/>
  <c r="H147" i="21"/>
  <c r="I146" i="21"/>
  <c r="M146" i="21" s="1"/>
  <c r="E133" i="21"/>
  <c r="C133" i="21"/>
  <c r="D133" i="21"/>
  <c r="B134" i="21"/>
  <c r="F134" i="21" s="1"/>
  <c r="A135" i="21"/>
  <c r="L146" i="21" l="1"/>
  <c r="K146" i="21"/>
  <c r="J146" i="21"/>
  <c r="H148" i="21"/>
  <c r="I147" i="21"/>
  <c r="M147" i="21" s="1"/>
  <c r="B135" i="21"/>
  <c r="F135" i="21" s="1"/>
  <c r="A136" i="21"/>
  <c r="C134" i="21"/>
  <c r="D134" i="21"/>
  <c r="E134" i="21"/>
  <c r="L147" i="21" l="1"/>
  <c r="K147" i="21"/>
  <c r="J147" i="21"/>
  <c r="A137" i="21"/>
  <c r="B136" i="21"/>
  <c r="F136" i="21" s="1"/>
  <c r="E135" i="21"/>
  <c r="C135" i="21"/>
  <c r="D135" i="21"/>
  <c r="H149" i="21"/>
  <c r="I148" i="21"/>
  <c r="M148" i="21" s="1"/>
  <c r="C136" i="21" l="1"/>
  <c r="D136" i="21"/>
  <c r="E136" i="21"/>
  <c r="A138" i="21"/>
  <c r="B137" i="21"/>
  <c r="F137" i="21" s="1"/>
  <c r="K148" i="21"/>
  <c r="L148" i="21"/>
  <c r="J148" i="21"/>
  <c r="H150" i="21"/>
  <c r="I149" i="21"/>
  <c r="M149" i="21" s="1"/>
  <c r="E137" i="21" l="1"/>
  <c r="D137" i="21"/>
  <c r="C137" i="21"/>
  <c r="A139" i="21"/>
  <c r="B138" i="21"/>
  <c r="F138" i="21" s="1"/>
  <c r="K149" i="21"/>
  <c r="L149" i="21"/>
  <c r="J149" i="21"/>
  <c r="H151" i="21"/>
  <c r="I150" i="21"/>
  <c r="M150" i="21" s="1"/>
  <c r="A140" i="21" l="1"/>
  <c r="B139" i="21"/>
  <c r="F139" i="21" s="1"/>
  <c r="L150" i="21"/>
  <c r="K150" i="21"/>
  <c r="J150" i="21"/>
  <c r="C138" i="21"/>
  <c r="D138" i="21"/>
  <c r="E138" i="21"/>
  <c r="H152" i="21"/>
  <c r="I151" i="21"/>
  <c r="M151" i="21" s="1"/>
  <c r="K151" i="21" l="1"/>
  <c r="L151" i="21"/>
  <c r="J151" i="21"/>
  <c r="H153" i="21"/>
  <c r="I152" i="21"/>
  <c r="M152" i="21" s="1"/>
  <c r="E139" i="21"/>
  <c r="C139" i="21"/>
  <c r="D139" i="21"/>
  <c r="A141" i="21"/>
  <c r="B140" i="21"/>
  <c r="F140" i="21" s="1"/>
  <c r="K152" i="21" l="1"/>
  <c r="J152" i="21"/>
  <c r="L152" i="21"/>
  <c r="H154" i="21"/>
  <c r="I153" i="21"/>
  <c r="M153" i="21" s="1"/>
  <c r="C140" i="21"/>
  <c r="D140" i="21"/>
  <c r="E140" i="21"/>
  <c r="A142" i="21"/>
  <c r="B141" i="21"/>
  <c r="F141" i="21" s="1"/>
  <c r="K153" i="21" l="1"/>
  <c r="L153" i="21"/>
  <c r="J153" i="21"/>
  <c r="H155" i="21"/>
  <c r="I154" i="21"/>
  <c r="M154" i="21" s="1"/>
  <c r="E141" i="21"/>
  <c r="C141" i="21"/>
  <c r="D141" i="21"/>
  <c r="A143" i="21"/>
  <c r="B142" i="21"/>
  <c r="F142" i="21" s="1"/>
  <c r="L154" i="21" l="1"/>
  <c r="K154" i="21"/>
  <c r="J154" i="21"/>
  <c r="H156" i="21"/>
  <c r="I155" i="21"/>
  <c r="M155" i="21" s="1"/>
  <c r="C142" i="21"/>
  <c r="D142" i="21"/>
  <c r="E142" i="21"/>
  <c r="A144" i="21"/>
  <c r="B143" i="21"/>
  <c r="F143" i="21" s="1"/>
  <c r="L155" i="21" l="1"/>
  <c r="J155" i="21"/>
  <c r="K155" i="21"/>
  <c r="H157" i="21"/>
  <c r="I156" i="21"/>
  <c r="M156" i="21" s="1"/>
  <c r="E143" i="21"/>
  <c r="C143" i="21"/>
  <c r="D143" i="21"/>
  <c r="B144" i="21"/>
  <c r="F144" i="21" s="1"/>
  <c r="A145" i="21"/>
  <c r="K156" i="21" l="1"/>
  <c r="L156" i="21"/>
  <c r="J156" i="21"/>
  <c r="H158" i="21"/>
  <c r="I157" i="21"/>
  <c r="M157" i="21" s="1"/>
  <c r="B145" i="21"/>
  <c r="F145" i="21" s="1"/>
  <c r="A146" i="21"/>
  <c r="C144" i="21"/>
  <c r="D144" i="21"/>
  <c r="E144" i="21"/>
  <c r="E145" i="21" l="1"/>
  <c r="D145" i="21"/>
  <c r="C145" i="21"/>
  <c r="A147" i="21"/>
  <c r="B146" i="21"/>
  <c r="F146" i="21" s="1"/>
  <c r="K157" i="21"/>
  <c r="L157" i="21"/>
  <c r="J157" i="21"/>
  <c r="H159" i="21"/>
  <c r="I158" i="21"/>
  <c r="M158" i="21" s="1"/>
  <c r="C146" i="21" l="1"/>
  <c r="D146" i="21"/>
  <c r="E146" i="21"/>
  <c r="B147" i="21"/>
  <c r="F147" i="21" s="1"/>
  <c r="A148" i="21"/>
  <c r="L158" i="21"/>
  <c r="K158" i="21"/>
  <c r="J158" i="21"/>
  <c r="H160" i="21"/>
  <c r="I159" i="21"/>
  <c r="M159" i="21" s="1"/>
  <c r="B148" i="21" l="1"/>
  <c r="F148" i="21" s="1"/>
  <c r="A149" i="21"/>
  <c r="H161" i="21"/>
  <c r="I160" i="21"/>
  <c r="M160" i="21" s="1"/>
  <c r="E147" i="21"/>
  <c r="C147" i="21"/>
  <c r="D147" i="21"/>
  <c r="K159" i="21"/>
  <c r="L159" i="21"/>
  <c r="J159" i="21"/>
  <c r="J160" i="21" l="1"/>
  <c r="K160" i="21"/>
  <c r="L160" i="21"/>
  <c r="H162" i="21"/>
  <c r="I161" i="21"/>
  <c r="M161" i="21" s="1"/>
  <c r="B149" i="21"/>
  <c r="F149" i="21" s="1"/>
  <c r="A150" i="21"/>
  <c r="C148" i="21"/>
  <c r="D148" i="21"/>
  <c r="E148" i="21"/>
  <c r="E149" i="21" l="1"/>
  <c r="D149" i="21"/>
  <c r="C149" i="21"/>
  <c r="K161" i="21"/>
  <c r="L161" i="21"/>
  <c r="J161" i="21"/>
  <c r="H163" i="21"/>
  <c r="I162" i="21"/>
  <c r="M162" i="21" s="1"/>
  <c r="A151" i="21"/>
  <c r="B150" i="21"/>
  <c r="F150" i="21" s="1"/>
  <c r="C150" i="21" l="1"/>
  <c r="D150" i="21"/>
  <c r="E150" i="21"/>
  <c r="A152" i="21"/>
  <c r="B151" i="21"/>
  <c r="F151" i="21" s="1"/>
  <c r="L162" i="21"/>
  <c r="K162" i="21"/>
  <c r="J162" i="21"/>
  <c r="H164" i="21"/>
  <c r="I163" i="21"/>
  <c r="M163" i="21" s="1"/>
  <c r="E151" i="21" l="1"/>
  <c r="C151" i="21"/>
  <c r="D151" i="21"/>
  <c r="A153" i="21"/>
  <c r="B152" i="21"/>
  <c r="F152" i="21" s="1"/>
  <c r="L163" i="21"/>
  <c r="J163" i="21"/>
  <c r="K163" i="21"/>
  <c r="H165" i="21"/>
  <c r="I164" i="21"/>
  <c r="M164" i="21" s="1"/>
  <c r="K164" i="21" l="1"/>
  <c r="L164" i="21"/>
  <c r="J164" i="21"/>
  <c r="C152" i="21"/>
  <c r="D152" i="21"/>
  <c r="E152" i="21"/>
  <c r="A154" i="21"/>
  <c r="B153" i="21"/>
  <c r="F153" i="21" s="1"/>
  <c r="H166" i="21"/>
  <c r="I165" i="21"/>
  <c r="M165" i="21" s="1"/>
  <c r="K165" i="21" l="1"/>
  <c r="L165" i="21"/>
  <c r="J165" i="21"/>
  <c r="H167" i="21"/>
  <c r="I166" i="21"/>
  <c r="M166" i="21" s="1"/>
  <c r="E153" i="21"/>
  <c r="D153" i="21"/>
  <c r="C153" i="21"/>
  <c r="B154" i="21"/>
  <c r="F154" i="21" s="1"/>
  <c r="A155" i="21"/>
  <c r="L166" i="21" l="1"/>
  <c r="K166" i="21"/>
  <c r="J166" i="21"/>
  <c r="H168" i="21"/>
  <c r="I167" i="21"/>
  <c r="M167" i="21" s="1"/>
  <c r="B155" i="21"/>
  <c r="F155" i="21" s="1"/>
  <c r="A156" i="21"/>
  <c r="C154" i="21"/>
  <c r="D154" i="21"/>
  <c r="E154" i="21"/>
  <c r="E155" i="21" l="1"/>
  <c r="C155" i="21"/>
  <c r="D155" i="21"/>
  <c r="A157" i="21"/>
  <c r="B156" i="21"/>
  <c r="F156" i="21" s="1"/>
  <c r="K167" i="21"/>
  <c r="L167" i="21"/>
  <c r="J167" i="21"/>
  <c r="H169" i="21"/>
  <c r="I168" i="21"/>
  <c r="M168" i="21" s="1"/>
  <c r="C156" i="21" l="1"/>
  <c r="D156" i="21"/>
  <c r="E156" i="21"/>
  <c r="A158" i="21"/>
  <c r="B157" i="21"/>
  <c r="F157" i="21" s="1"/>
  <c r="K168" i="21"/>
  <c r="J168" i="21"/>
  <c r="L168" i="21"/>
  <c r="H170" i="21"/>
  <c r="I169" i="21"/>
  <c r="M169" i="21" s="1"/>
  <c r="E157" i="21" l="1"/>
  <c r="C157" i="21"/>
  <c r="D157" i="21"/>
  <c r="B158" i="21"/>
  <c r="F158" i="21" s="1"/>
  <c r="A159" i="21"/>
  <c r="K169" i="21"/>
  <c r="L169" i="21"/>
  <c r="J169" i="21"/>
  <c r="H171" i="21"/>
  <c r="I170" i="21"/>
  <c r="M170" i="21" s="1"/>
  <c r="A160" i="21" l="1"/>
  <c r="B159" i="21"/>
  <c r="F159" i="21" s="1"/>
  <c r="C158" i="21"/>
  <c r="D158" i="21"/>
  <c r="E158" i="21"/>
  <c r="L170" i="21"/>
  <c r="K170" i="21"/>
  <c r="J170" i="21"/>
  <c r="H172" i="21"/>
  <c r="I171" i="21"/>
  <c r="M171" i="21" s="1"/>
  <c r="K171" i="21" l="1"/>
  <c r="J171" i="21"/>
  <c r="L171" i="21"/>
  <c r="H173" i="21"/>
  <c r="I172" i="21"/>
  <c r="M172" i="21" s="1"/>
  <c r="E159" i="21"/>
  <c r="C159" i="21"/>
  <c r="D159" i="21"/>
  <c r="B160" i="21"/>
  <c r="F160" i="21" s="1"/>
  <c r="A161" i="21"/>
  <c r="K172" i="21" l="1"/>
  <c r="L172" i="21"/>
  <c r="J172" i="21"/>
  <c r="H174" i="21"/>
  <c r="I173" i="21"/>
  <c r="M173" i="21" s="1"/>
  <c r="A162" i="21"/>
  <c r="B161" i="21"/>
  <c r="F161" i="21" s="1"/>
  <c r="C160" i="21"/>
  <c r="D160" i="21"/>
  <c r="E160" i="21"/>
  <c r="K173" i="21" l="1"/>
  <c r="L173" i="21"/>
  <c r="J173" i="21"/>
  <c r="E161" i="21"/>
  <c r="D161" i="21"/>
  <c r="C161" i="21"/>
  <c r="A163" i="21"/>
  <c r="B162" i="21"/>
  <c r="F162" i="21" s="1"/>
  <c r="H175" i="21"/>
  <c r="I174" i="21"/>
  <c r="M174" i="21" s="1"/>
  <c r="L174" i="21" l="1"/>
  <c r="K174" i="21"/>
  <c r="J174" i="21"/>
  <c r="H176" i="21"/>
  <c r="I175" i="21"/>
  <c r="M175" i="21" s="1"/>
  <c r="C162" i="21"/>
  <c r="D162" i="21"/>
  <c r="E162" i="21"/>
  <c r="B163" i="21"/>
  <c r="F163" i="21" s="1"/>
  <c r="A164" i="21"/>
  <c r="K175" i="21" l="1"/>
  <c r="L175" i="21"/>
  <c r="J175" i="21"/>
  <c r="H177" i="21"/>
  <c r="I176" i="21"/>
  <c r="M176" i="21" s="1"/>
  <c r="A165" i="21"/>
  <c r="B164" i="21"/>
  <c r="F164" i="21" s="1"/>
  <c r="E163" i="21"/>
  <c r="C163" i="21"/>
  <c r="D163" i="21"/>
  <c r="J176" i="21" l="1"/>
  <c r="K176" i="21"/>
  <c r="L176" i="21"/>
  <c r="C164" i="21"/>
  <c r="D164" i="21"/>
  <c r="E164" i="21"/>
  <c r="B165" i="21"/>
  <c r="F165" i="21" s="1"/>
  <c r="A166" i="21"/>
  <c r="H178" i="21"/>
  <c r="I177" i="21"/>
  <c r="M177" i="21" s="1"/>
  <c r="K177" i="21" l="1"/>
  <c r="L177" i="21"/>
  <c r="J177" i="21"/>
  <c r="H179" i="21"/>
  <c r="I178" i="21"/>
  <c r="M178" i="21" s="1"/>
  <c r="B166" i="21"/>
  <c r="F166" i="21" s="1"/>
  <c r="A167" i="21"/>
  <c r="E165" i="21"/>
  <c r="C165" i="21"/>
  <c r="D165" i="21"/>
  <c r="A168" i="21" l="1"/>
  <c r="B167" i="21"/>
  <c r="F167" i="21" s="1"/>
  <c r="L178" i="21"/>
  <c r="K178" i="21"/>
  <c r="J178" i="21"/>
  <c r="C166" i="21"/>
  <c r="D166" i="21"/>
  <c r="E166" i="21"/>
  <c r="H180" i="21"/>
  <c r="I179" i="21"/>
  <c r="M179" i="21" s="1"/>
  <c r="L179" i="21" l="1"/>
  <c r="K179" i="21"/>
  <c r="J179" i="21"/>
  <c r="H181" i="21"/>
  <c r="I180" i="21"/>
  <c r="M180" i="21" s="1"/>
  <c r="E167" i="21"/>
  <c r="C167" i="21"/>
  <c r="D167" i="21"/>
  <c r="B168" i="21"/>
  <c r="F168" i="21" s="1"/>
  <c r="A169" i="21"/>
  <c r="K180" i="21" l="1"/>
  <c r="L180" i="21"/>
  <c r="J180" i="21"/>
  <c r="H182" i="21"/>
  <c r="I181" i="21"/>
  <c r="M181" i="21" s="1"/>
  <c r="A170" i="21"/>
  <c r="B169" i="21"/>
  <c r="F169" i="21" s="1"/>
  <c r="C168" i="21"/>
  <c r="D168" i="21"/>
  <c r="E168" i="21"/>
  <c r="K181" i="21" l="1"/>
  <c r="L181" i="21"/>
  <c r="J181" i="21"/>
  <c r="E169" i="21"/>
  <c r="D169" i="21"/>
  <c r="C169" i="21"/>
  <c r="A171" i="21"/>
  <c r="B170" i="21"/>
  <c r="F170" i="21" s="1"/>
  <c r="H183" i="21"/>
  <c r="I182" i="21"/>
  <c r="M182" i="21" s="1"/>
  <c r="L182" i="21" l="1"/>
  <c r="K182" i="21"/>
  <c r="J182" i="21"/>
  <c r="C170" i="21"/>
  <c r="D170" i="21"/>
  <c r="E170" i="21"/>
  <c r="H184" i="21"/>
  <c r="I183" i="21"/>
  <c r="M183" i="21" s="1"/>
  <c r="B171" i="21"/>
  <c r="F171" i="21" s="1"/>
  <c r="A172" i="21"/>
  <c r="E171" i="21" l="1"/>
  <c r="C171" i="21"/>
  <c r="D171" i="21"/>
  <c r="H185" i="21"/>
  <c r="I184" i="21"/>
  <c r="M184" i="21" s="1"/>
  <c r="A173" i="21"/>
  <c r="B172" i="21"/>
  <c r="F172" i="21" s="1"/>
  <c r="K183" i="21"/>
  <c r="L183" i="21"/>
  <c r="J183" i="21"/>
  <c r="C172" i="21" l="1"/>
  <c r="D172" i="21"/>
  <c r="E172" i="21"/>
  <c r="A174" i="21"/>
  <c r="B173" i="21"/>
  <c r="F173" i="21" s="1"/>
  <c r="K184" i="21"/>
  <c r="J184" i="21"/>
  <c r="L184" i="21"/>
  <c r="H186" i="21"/>
  <c r="I185" i="21"/>
  <c r="M185" i="21" s="1"/>
  <c r="K185" i="21" l="1"/>
  <c r="L185" i="21"/>
  <c r="J185" i="21"/>
  <c r="E173" i="21"/>
  <c r="C173" i="21"/>
  <c r="D173" i="21"/>
  <c r="A175" i="21"/>
  <c r="B174" i="21"/>
  <c r="F174" i="21" s="1"/>
  <c r="H187" i="21"/>
  <c r="I186" i="21"/>
  <c r="M186" i="21" s="1"/>
  <c r="L186" i="21" l="1"/>
  <c r="K186" i="21"/>
  <c r="J186" i="21"/>
  <c r="C174" i="21"/>
  <c r="D174" i="21"/>
  <c r="E174" i="21"/>
  <c r="H188" i="21"/>
  <c r="I187" i="21"/>
  <c r="M187" i="21" s="1"/>
  <c r="A176" i="21"/>
  <c r="B175" i="21"/>
  <c r="F175" i="21" s="1"/>
  <c r="E175" i="21" l="1"/>
  <c r="C175" i="21"/>
  <c r="D175" i="21"/>
  <c r="A177" i="21"/>
  <c r="B176" i="21"/>
  <c r="F176" i="21" s="1"/>
  <c r="L187" i="21"/>
  <c r="J187" i="21"/>
  <c r="K187" i="21"/>
  <c r="H189" i="21"/>
  <c r="I188" i="21"/>
  <c r="M188" i="21" s="1"/>
  <c r="C176" i="21" l="1"/>
  <c r="D176" i="21"/>
  <c r="E176" i="21"/>
  <c r="A178" i="21"/>
  <c r="B177" i="21"/>
  <c r="F177" i="21" s="1"/>
  <c r="H190" i="21"/>
  <c r="I189" i="21"/>
  <c r="M189" i="21" s="1"/>
  <c r="K188" i="21"/>
  <c r="L188" i="21"/>
  <c r="J188" i="21"/>
  <c r="H191" i="21" l="1"/>
  <c r="I190" i="21"/>
  <c r="M190" i="21" s="1"/>
  <c r="E177" i="21"/>
  <c r="D177" i="21"/>
  <c r="C177" i="21"/>
  <c r="K189" i="21"/>
  <c r="L189" i="21"/>
  <c r="J189" i="21"/>
  <c r="A179" i="21"/>
  <c r="B178" i="21"/>
  <c r="F178" i="21" s="1"/>
  <c r="C178" i="21" l="1"/>
  <c r="D178" i="21"/>
  <c r="E178" i="21"/>
  <c r="A180" i="21"/>
  <c r="B179" i="21"/>
  <c r="F179" i="21" s="1"/>
  <c r="L190" i="21"/>
  <c r="K190" i="21"/>
  <c r="J190" i="21"/>
  <c r="H192" i="21"/>
  <c r="I191" i="21"/>
  <c r="M191" i="21" s="1"/>
  <c r="E179" i="21" l="1"/>
  <c r="C179" i="21"/>
  <c r="D179" i="21"/>
  <c r="A181" i="21"/>
  <c r="B180" i="21"/>
  <c r="F180" i="21" s="1"/>
  <c r="K191" i="21"/>
  <c r="L191" i="21"/>
  <c r="J191" i="21"/>
  <c r="H193" i="21"/>
  <c r="I192" i="21"/>
  <c r="M192" i="21" s="1"/>
  <c r="C180" i="21" l="1"/>
  <c r="D180" i="21"/>
  <c r="E180" i="21"/>
  <c r="H194" i="21"/>
  <c r="I193" i="21"/>
  <c r="M193" i="21" s="1"/>
  <c r="A182" i="21"/>
  <c r="B181" i="21"/>
  <c r="F181" i="21" s="1"/>
  <c r="J192" i="21"/>
  <c r="K192" i="21"/>
  <c r="L192" i="21"/>
  <c r="A183" i="21" l="1"/>
  <c r="B182" i="21"/>
  <c r="F182" i="21" s="1"/>
  <c r="K193" i="21"/>
  <c r="L193" i="21"/>
  <c r="J193" i="21"/>
  <c r="E181" i="21"/>
  <c r="D181" i="21"/>
  <c r="C181" i="21"/>
  <c r="H195" i="21"/>
  <c r="I194" i="21"/>
  <c r="M194" i="21" s="1"/>
  <c r="H196" i="21" l="1"/>
  <c r="I195" i="21"/>
  <c r="M195" i="21" s="1"/>
  <c r="L194" i="21"/>
  <c r="K194" i="21"/>
  <c r="J194" i="21"/>
  <c r="C182" i="21"/>
  <c r="D182" i="21"/>
  <c r="E182" i="21"/>
  <c r="B183" i="21"/>
  <c r="F183" i="21" s="1"/>
  <c r="A184" i="21"/>
  <c r="A185" i="21" l="1"/>
  <c r="B184" i="21"/>
  <c r="F184" i="21" s="1"/>
  <c r="E183" i="21"/>
  <c r="C183" i="21"/>
  <c r="D183" i="21"/>
  <c r="L195" i="21"/>
  <c r="J195" i="21"/>
  <c r="K195" i="21"/>
  <c r="H197" i="21"/>
  <c r="I196" i="21"/>
  <c r="M196" i="21" s="1"/>
  <c r="K196" i="21" l="1"/>
  <c r="L196" i="21"/>
  <c r="J196" i="21"/>
  <c r="H198" i="21"/>
  <c r="I197" i="21"/>
  <c r="M197" i="21" s="1"/>
  <c r="C184" i="21"/>
  <c r="D184" i="21"/>
  <c r="E184" i="21"/>
  <c r="B185" i="21"/>
  <c r="F185" i="21" s="1"/>
  <c r="A186" i="21"/>
  <c r="K197" i="21" l="1"/>
  <c r="L197" i="21"/>
  <c r="J197" i="21"/>
  <c r="H199" i="21"/>
  <c r="I198" i="21"/>
  <c r="M198" i="21" s="1"/>
  <c r="A187" i="21"/>
  <c r="B186" i="21"/>
  <c r="F186" i="21" s="1"/>
  <c r="E185" i="21"/>
  <c r="C185" i="21"/>
  <c r="D185" i="21"/>
  <c r="C186" i="21" l="1"/>
  <c r="D186" i="21"/>
  <c r="E186" i="21"/>
  <c r="B187" i="21"/>
  <c r="F187" i="21" s="1"/>
  <c r="A188" i="21"/>
  <c r="L198" i="21"/>
  <c r="K198" i="21"/>
  <c r="J198" i="21"/>
  <c r="H200" i="21"/>
  <c r="I199" i="21"/>
  <c r="M199" i="21" s="1"/>
  <c r="E187" i="21" l="1"/>
  <c r="C187" i="21"/>
  <c r="D187" i="21"/>
  <c r="K199" i="21"/>
  <c r="L199" i="21"/>
  <c r="J199" i="21"/>
  <c r="A189" i="21"/>
  <c r="B188" i="21"/>
  <c r="F188" i="21" s="1"/>
  <c r="H201" i="21"/>
  <c r="I200" i="21"/>
  <c r="M200" i="21" s="1"/>
  <c r="C188" i="21" l="1"/>
  <c r="D188" i="21"/>
  <c r="E188" i="21"/>
  <c r="A190" i="21"/>
  <c r="B189" i="21"/>
  <c r="F189" i="21" s="1"/>
  <c r="K200" i="21"/>
  <c r="J200" i="21"/>
  <c r="L200" i="21"/>
  <c r="H202" i="21"/>
  <c r="I201" i="21"/>
  <c r="M201" i="21" s="1"/>
  <c r="E189" i="21" l="1"/>
  <c r="D189" i="21"/>
  <c r="C189" i="21"/>
  <c r="A191" i="21"/>
  <c r="B190" i="21"/>
  <c r="F190" i="21" s="1"/>
  <c r="K201" i="21"/>
  <c r="L201" i="21"/>
  <c r="J201" i="21"/>
  <c r="H203" i="21"/>
  <c r="I202" i="21"/>
  <c r="M202" i="21" s="1"/>
  <c r="L202" i="21" l="1"/>
  <c r="K202" i="21"/>
  <c r="J202" i="21"/>
  <c r="C190" i="21"/>
  <c r="D190" i="21"/>
  <c r="E190" i="21"/>
  <c r="A192" i="21"/>
  <c r="B191" i="21"/>
  <c r="F191" i="21" s="1"/>
  <c r="H204" i="21"/>
  <c r="I203" i="21"/>
  <c r="M203" i="21" s="1"/>
  <c r="K203" i="21" l="1"/>
  <c r="J203" i="21"/>
  <c r="L203" i="21"/>
  <c r="H205" i="21"/>
  <c r="I204" i="21"/>
  <c r="M204" i="21" s="1"/>
  <c r="E191" i="21"/>
  <c r="C191" i="21"/>
  <c r="D191" i="21"/>
  <c r="A193" i="21"/>
  <c r="B192" i="21"/>
  <c r="F192" i="21" s="1"/>
  <c r="K204" i="21" l="1"/>
  <c r="L204" i="21"/>
  <c r="J204" i="21"/>
  <c r="H206" i="21"/>
  <c r="I205" i="21"/>
  <c r="M205" i="21" s="1"/>
  <c r="C192" i="21"/>
  <c r="D192" i="21"/>
  <c r="E192" i="21"/>
  <c r="A194" i="21"/>
  <c r="B193" i="21"/>
  <c r="F193" i="21" s="1"/>
  <c r="K205" i="21" l="1"/>
  <c r="L205" i="21"/>
  <c r="J205" i="21"/>
  <c r="H207" i="21"/>
  <c r="I206" i="21"/>
  <c r="M206" i="21" s="1"/>
  <c r="E193" i="21"/>
  <c r="C193" i="21"/>
  <c r="D193" i="21"/>
  <c r="A195" i="21"/>
  <c r="B194" i="21"/>
  <c r="F194" i="21" s="1"/>
  <c r="C194" i="21" l="1"/>
  <c r="D194" i="21"/>
  <c r="E194" i="21"/>
  <c r="H208" i="21"/>
  <c r="I207" i="21"/>
  <c r="M207" i="21" s="1"/>
  <c r="B195" i="21"/>
  <c r="F195" i="21" s="1"/>
  <c r="A196" i="21"/>
  <c r="L206" i="21"/>
  <c r="K206" i="21"/>
  <c r="J206" i="21"/>
  <c r="A197" i="21" l="1"/>
  <c r="B196" i="21"/>
  <c r="F196" i="21" s="1"/>
  <c r="C195" i="21"/>
  <c r="D195" i="21"/>
  <c r="E195" i="21"/>
  <c r="H209" i="21"/>
  <c r="I208" i="21"/>
  <c r="M208" i="21" s="1"/>
  <c r="K207" i="21"/>
  <c r="L207" i="21"/>
  <c r="J207" i="21"/>
  <c r="D196" i="21" l="1"/>
  <c r="E196" i="21"/>
  <c r="C196" i="21"/>
  <c r="J208" i="21"/>
  <c r="K208" i="21"/>
  <c r="L208" i="21"/>
  <c r="B197" i="21"/>
  <c r="F197" i="21" s="1"/>
  <c r="A198" i="21"/>
  <c r="H210" i="21"/>
  <c r="I209" i="21"/>
  <c r="M209" i="21" s="1"/>
  <c r="C197" i="21" l="1"/>
  <c r="D197" i="21"/>
  <c r="E197" i="21"/>
  <c r="A199" i="21"/>
  <c r="B198" i="21"/>
  <c r="F198" i="21" s="1"/>
  <c r="K209" i="21"/>
  <c r="L209" i="21"/>
  <c r="J209" i="21"/>
  <c r="H211" i="21"/>
  <c r="I210" i="21"/>
  <c r="M210" i="21" s="1"/>
  <c r="C198" i="21" l="1"/>
  <c r="D198" i="21"/>
  <c r="E198" i="21"/>
  <c r="A200" i="21"/>
  <c r="B199" i="21"/>
  <c r="F199" i="21" s="1"/>
  <c r="L210" i="21"/>
  <c r="K210" i="21"/>
  <c r="J210" i="21"/>
  <c r="H212" i="21"/>
  <c r="I211" i="21"/>
  <c r="M211" i="21" s="1"/>
  <c r="C199" i="21" l="1"/>
  <c r="D199" i="21"/>
  <c r="E199" i="21"/>
  <c r="A201" i="21"/>
  <c r="B200" i="21"/>
  <c r="F200" i="21" s="1"/>
  <c r="L211" i="21"/>
  <c r="K211" i="21"/>
  <c r="J211" i="21"/>
  <c r="H213" i="21"/>
  <c r="I212" i="21"/>
  <c r="M212" i="21" s="1"/>
  <c r="D200" i="21" l="1"/>
  <c r="C200" i="21"/>
  <c r="E200" i="21"/>
  <c r="B201" i="21"/>
  <c r="F201" i="21" s="1"/>
  <c r="A202" i="21"/>
  <c r="K212" i="21"/>
  <c r="L212" i="21"/>
  <c r="J212" i="21"/>
  <c r="H214" i="21"/>
  <c r="I213" i="21"/>
  <c r="M213" i="21" s="1"/>
  <c r="A203" i="21" l="1"/>
  <c r="B202" i="21"/>
  <c r="F202" i="21" s="1"/>
  <c r="K213" i="21"/>
  <c r="L213" i="21"/>
  <c r="J213" i="21"/>
  <c r="C201" i="21"/>
  <c r="D201" i="21"/>
  <c r="E201" i="21"/>
  <c r="H215" i="21"/>
  <c r="I214" i="21"/>
  <c r="M214" i="21" s="1"/>
  <c r="L214" i="21" l="1"/>
  <c r="K214" i="21"/>
  <c r="J214" i="21"/>
  <c r="H216" i="21"/>
  <c r="I215" i="21"/>
  <c r="M215" i="21" s="1"/>
  <c r="C202" i="21"/>
  <c r="D202" i="21"/>
  <c r="E202" i="21"/>
  <c r="B203" i="21"/>
  <c r="F203" i="21" s="1"/>
  <c r="A204" i="21"/>
  <c r="K215" i="21" l="1"/>
  <c r="L215" i="21"/>
  <c r="J215" i="21"/>
  <c r="H217" i="21"/>
  <c r="I216" i="21"/>
  <c r="M216" i="21" s="1"/>
  <c r="B204" i="21"/>
  <c r="F204" i="21" s="1"/>
  <c r="A205" i="21"/>
  <c r="C203" i="21"/>
  <c r="D203" i="21"/>
  <c r="E203" i="21"/>
  <c r="B205" i="21" l="1"/>
  <c r="F205" i="21" s="1"/>
  <c r="A206" i="21"/>
  <c r="D204" i="21"/>
  <c r="C204" i="21"/>
  <c r="E204" i="21"/>
  <c r="K216" i="21"/>
  <c r="J216" i="21"/>
  <c r="L216" i="21"/>
  <c r="H218" i="21"/>
  <c r="I217" i="21"/>
  <c r="M217" i="21" s="1"/>
  <c r="K217" i="21" l="1"/>
  <c r="L217" i="21"/>
  <c r="J217" i="21"/>
  <c r="H219" i="21"/>
  <c r="I218" i="21"/>
  <c r="M218" i="21" s="1"/>
  <c r="A207" i="21"/>
  <c r="B206" i="21"/>
  <c r="F206" i="21" s="1"/>
  <c r="C205" i="21"/>
  <c r="D205" i="21"/>
  <c r="E205" i="21"/>
  <c r="L218" i="21" l="1"/>
  <c r="K218" i="21"/>
  <c r="J218" i="21"/>
  <c r="C206" i="21"/>
  <c r="D206" i="21"/>
  <c r="E206" i="21"/>
  <c r="A208" i="21"/>
  <c r="B207" i="21"/>
  <c r="F207" i="21" s="1"/>
  <c r="H220" i="21"/>
  <c r="I219" i="21"/>
  <c r="M219" i="21" s="1"/>
  <c r="L219" i="21" l="1"/>
  <c r="J219" i="21"/>
  <c r="K219" i="21"/>
  <c r="H221" i="21"/>
  <c r="I220" i="21"/>
  <c r="M220" i="21" s="1"/>
  <c r="C207" i="21"/>
  <c r="D207" i="21"/>
  <c r="E207" i="21"/>
  <c r="B208" i="21"/>
  <c r="F208" i="21" s="1"/>
  <c r="A209" i="21"/>
  <c r="K220" i="21" l="1"/>
  <c r="L220" i="21"/>
  <c r="J220" i="21"/>
  <c r="H222" i="21"/>
  <c r="I221" i="21"/>
  <c r="M221" i="21" s="1"/>
  <c r="A210" i="21"/>
  <c r="B209" i="21"/>
  <c r="F209" i="21" s="1"/>
  <c r="D208" i="21"/>
  <c r="C208" i="21"/>
  <c r="E208" i="21"/>
  <c r="C209" i="21" l="1"/>
  <c r="D209" i="21"/>
  <c r="E209" i="21"/>
  <c r="A211" i="21"/>
  <c r="B210" i="21"/>
  <c r="F210" i="21" s="1"/>
  <c r="K221" i="21"/>
  <c r="L221" i="21"/>
  <c r="J221" i="21"/>
  <c r="H223" i="21"/>
  <c r="I222" i="21"/>
  <c r="M222" i="21" s="1"/>
  <c r="C210" i="21" l="1"/>
  <c r="D210" i="21"/>
  <c r="E210" i="21"/>
  <c r="A212" i="21"/>
  <c r="B211" i="21"/>
  <c r="F211" i="21" s="1"/>
  <c r="L222" i="21"/>
  <c r="K222" i="21"/>
  <c r="J222" i="21"/>
  <c r="H224" i="21"/>
  <c r="I223" i="21"/>
  <c r="M223" i="21" s="1"/>
  <c r="C211" i="21" l="1"/>
  <c r="D211" i="21"/>
  <c r="E211" i="21"/>
  <c r="B212" i="21"/>
  <c r="F212" i="21" s="1"/>
  <c r="A213" i="21"/>
  <c r="K223" i="21"/>
  <c r="L223" i="21"/>
  <c r="J223" i="21"/>
  <c r="H225" i="21"/>
  <c r="I224" i="21"/>
  <c r="M224" i="21" s="1"/>
  <c r="D212" i="21" l="1"/>
  <c r="E212" i="21"/>
  <c r="C212" i="21"/>
  <c r="J224" i="21"/>
  <c r="K224" i="21"/>
  <c r="L224" i="21"/>
  <c r="A214" i="21"/>
  <c r="B213" i="21"/>
  <c r="F213" i="21" s="1"/>
  <c r="H226" i="21"/>
  <c r="I225" i="21"/>
  <c r="M225" i="21" s="1"/>
  <c r="K225" i="21" l="1"/>
  <c r="L225" i="21"/>
  <c r="J225" i="21"/>
  <c r="H227" i="21"/>
  <c r="I226" i="21"/>
  <c r="M226" i="21" s="1"/>
  <c r="C213" i="21"/>
  <c r="D213" i="21"/>
  <c r="E213" i="21"/>
  <c r="A215" i="21"/>
  <c r="B214" i="21"/>
  <c r="F214" i="21" s="1"/>
  <c r="L226" i="21" l="1"/>
  <c r="K226" i="21"/>
  <c r="J226" i="21"/>
  <c r="H228" i="21"/>
  <c r="I227" i="21"/>
  <c r="M227" i="21" s="1"/>
  <c r="C214" i="21"/>
  <c r="D214" i="21"/>
  <c r="E214" i="21"/>
  <c r="B215" i="21"/>
  <c r="F215" i="21" s="1"/>
  <c r="A216" i="21"/>
  <c r="L227" i="21" l="1"/>
  <c r="J227" i="21"/>
  <c r="K227" i="21"/>
  <c r="C215" i="21"/>
  <c r="D215" i="21"/>
  <c r="E215" i="21"/>
  <c r="H229" i="21"/>
  <c r="I228" i="21"/>
  <c r="M228" i="21" s="1"/>
  <c r="A217" i="21"/>
  <c r="B216" i="21"/>
  <c r="F216" i="21" s="1"/>
  <c r="D216" i="21" l="1"/>
  <c r="C216" i="21"/>
  <c r="E216" i="21"/>
  <c r="A218" i="21"/>
  <c r="B217" i="21"/>
  <c r="F217" i="21" s="1"/>
  <c r="K228" i="21"/>
  <c r="L228" i="21"/>
  <c r="J228" i="21"/>
  <c r="H230" i="21"/>
  <c r="I229" i="21"/>
  <c r="M229" i="21" s="1"/>
  <c r="C217" i="21" l="1"/>
  <c r="D217" i="21"/>
  <c r="E217" i="21"/>
  <c r="A219" i="21"/>
  <c r="B218" i="21"/>
  <c r="F218" i="21" s="1"/>
  <c r="K229" i="21"/>
  <c r="L229" i="21"/>
  <c r="J229" i="21"/>
  <c r="H231" i="21"/>
  <c r="I230" i="21"/>
  <c r="M230" i="21" s="1"/>
  <c r="C218" i="21" l="1"/>
  <c r="D218" i="21"/>
  <c r="E218" i="21"/>
  <c r="A220" i="21"/>
  <c r="B219" i="21"/>
  <c r="F219" i="21" s="1"/>
  <c r="L230" i="21"/>
  <c r="K230" i="21"/>
  <c r="J230" i="21"/>
  <c r="H232" i="21"/>
  <c r="I231" i="21"/>
  <c r="M231" i="21" s="1"/>
  <c r="C219" i="21" l="1"/>
  <c r="D219" i="21"/>
  <c r="E219" i="21"/>
  <c r="A221" i="21"/>
  <c r="B220" i="21"/>
  <c r="F220" i="21" s="1"/>
  <c r="K231" i="21"/>
  <c r="L231" i="21"/>
  <c r="J231" i="21"/>
  <c r="H233" i="21"/>
  <c r="I232" i="21"/>
  <c r="M232" i="21" s="1"/>
  <c r="D220" i="21" l="1"/>
  <c r="C220" i="21"/>
  <c r="E220" i="21"/>
  <c r="A222" i="21"/>
  <c r="B221" i="21"/>
  <c r="F221" i="21" s="1"/>
  <c r="K232" i="21"/>
  <c r="J232" i="21"/>
  <c r="L232" i="21"/>
  <c r="H234" i="21"/>
  <c r="I233" i="21"/>
  <c r="M233" i="21" s="1"/>
  <c r="C221" i="21" l="1"/>
  <c r="D221" i="21"/>
  <c r="E221" i="21"/>
  <c r="A223" i="21"/>
  <c r="B222" i="21"/>
  <c r="F222" i="21" s="1"/>
  <c r="K233" i="21"/>
  <c r="L233" i="21"/>
  <c r="J233" i="21"/>
  <c r="H235" i="21"/>
  <c r="I234" i="21"/>
  <c r="M234" i="21" s="1"/>
  <c r="C222" i="21" l="1"/>
  <c r="D222" i="21"/>
  <c r="E222" i="21"/>
  <c r="B223" i="21"/>
  <c r="F223" i="21" s="1"/>
  <c r="A224" i="21"/>
  <c r="L234" i="21"/>
  <c r="K234" i="21"/>
  <c r="J234" i="21"/>
  <c r="H236" i="21"/>
  <c r="I235" i="21"/>
  <c r="M235" i="21" s="1"/>
  <c r="A225" i="21" l="1"/>
  <c r="B224" i="21"/>
  <c r="F224" i="21" s="1"/>
  <c r="C223" i="21"/>
  <c r="D223" i="21"/>
  <c r="E223" i="21"/>
  <c r="K235" i="21"/>
  <c r="J235" i="21"/>
  <c r="L235" i="21"/>
  <c r="H237" i="21"/>
  <c r="I236" i="21"/>
  <c r="M236" i="21" s="1"/>
  <c r="K236" i="21" l="1"/>
  <c r="L236" i="21"/>
  <c r="J236" i="21"/>
  <c r="H238" i="21"/>
  <c r="I237" i="21"/>
  <c r="M237" i="21" s="1"/>
  <c r="D224" i="21"/>
  <c r="C224" i="21"/>
  <c r="E224" i="21"/>
  <c r="A226" i="21"/>
  <c r="B225" i="21"/>
  <c r="F225" i="21" s="1"/>
  <c r="K237" i="21" l="1"/>
  <c r="L237" i="21"/>
  <c r="J237" i="21"/>
  <c r="H239" i="21"/>
  <c r="I238" i="21"/>
  <c r="M238" i="21" s="1"/>
  <c r="C225" i="21"/>
  <c r="D225" i="21"/>
  <c r="E225" i="21"/>
  <c r="B226" i="21"/>
  <c r="F226" i="21" s="1"/>
  <c r="A227" i="21"/>
  <c r="L238" i="21" l="1"/>
  <c r="K238" i="21"/>
  <c r="J238" i="21"/>
  <c r="H240" i="21"/>
  <c r="I239" i="21"/>
  <c r="M239" i="21" s="1"/>
  <c r="A228" i="21"/>
  <c r="B227" i="21"/>
  <c r="F227" i="21" s="1"/>
  <c r="C226" i="21"/>
  <c r="D226" i="21"/>
  <c r="E226" i="21"/>
  <c r="C227" i="21" l="1"/>
  <c r="D227" i="21"/>
  <c r="E227" i="21"/>
  <c r="A229" i="21"/>
  <c r="B228" i="21"/>
  <c r="F228" i="21" s="1"/>
  <c r="K239" i="21"/>
  <c r="L239" i="21"/>
  <c r="J239" i="21"/>
  <c r="H241" i="21"/>
  <c r="I240" i="21"/>
  <c r="M240" i="21" s="1"/>
  <c r="H242" i="21" l="1"/>
  <c r="I241" i="21"/>
  <c r="M241" i="21" s="1"/>
  <c r="D228" i="21"/>
  <c r="E228" i="21"/>
  <c r="C228" i="21"/>
  <c r="B229" i="21"/>
  <c r="F229" i="21" s="1"/>
  <c r="A230" i="21"/>
  <c r="J240" i="21"/>
  <c r="K240" i="21"/>
  <c r="L240" i="21"/>
  <c r="A231" i="21" l="1"/>
  <c r="B230" i="21"/>
  <c r="F230" i="21" s="1"/>
  <c r="C229" i="21"/>
  <c r="D229" i="21"/>
  <c r="E229" i="21"/>
  <c r="K241" i="21"/>
  <c r="L241" i="21"/>
  <c r="J241" i="21"/>
  <c r="H243" i="21"/>
  <c r="I242" i="21"/>
  <c r="M242" i="21" s="1"/>
  <c r="L242" i="21" l="1"/>
  <c r="K242" i="21"/>
  <c r="J242" i="21"/>
  <c r="H244" i="21"/>
  <c r="I243" i="21"/>
  <c r="M243" i="21" s="1"/>
  <c r="C230" i="21"/>
  <c r="D230" i="21"/>
  <c r="E230" i="21"/>
  <c r="B231" i="21"/>
  <c r="F231" i="21" s="1"/>
  <c r="A232" i="21"/>
  <c r="L243" i="21" l="1"/>
  <c r="K243" i="21"/>
  <c r="J243" i="21"/>
  <c r="C231" i="21"/>
  <c r="D231" i="21"/>
  <c r="E231" i="21"/>
  <c r="H245" i="21"/>
  <c r="I244" i="21"/>
  <c r="M244" i="21" s="1"/>
  <c r="A233" i="21"/>
  <c r="B232" i="21"/>
  <c r="F232" i="21" s="1"/>
  <c r="D232" i="21" l="1"/>
  <c r="C232" i="21"/>
  <c r="E232" i="21"/>
  <c r="B233" i="21"/>
  <c r="F233" i="21" s="1"/>
  <c r="A234" i="21"/>
  <c r="K244" i="21"/>
  <c r="L244" i="21"/>
  <c r="J244" i="21"/>
  <c r="H246" i="21"/>
  <c r="I245" i="21"/>
  <c r="M245" i="21" s="1"/>
  <c r="B234" i="21" l="1"/>
  <c r="F234" i="21" s="1"/>
  <c r="A235" i="21"/>
  <c r="C233" i="21"/>
  <c r="D233" i="21"/>
  <c r="E233" i="21"/>
  <c r="K245" i="21"/>
  <c r="L245" i="21"/>
  <c r="J245" i="21"/>
  <c r="H247" i="21"/>
  <c r="I246" i="21"/>
  <c r="M246" i="21" s="1"/>
  <c r="L246" i="21" l="1"/>
  <c r="K246" i="21"/>
  <c r="J246" i="21"/>
  <c r="H248" i="21"/>
  <c r="I247" i="21"/>
  <c r="M247" i="21" s="1"/>
  <c r="B235" i="21"/>
  <c r="F235" i="21" s="1"/>
  <c r="A236" i="21"/>
  <c r="C234" i="21"/>
  <c r="D234" i="21"/>
  <c r="E234" i="21"/>
  <c r="C235" i="21" l="1"/>
  <c r="D235" i="21"/>
  <c r="E235" i="21"/>
  <c r="K247" i="21"/>
  <c r="L247" i="21"/>
  <c r="J247" i="21"/>
  <c r="B236" i="21"/>
  <c r="F236" i="21" s="1"/>
  <c r="A237" i="21"/>
  <c r="H249" i="21"/>
  <c r="I248" i="21"/>
  <c r="M248" i="21" s="1"/>
  <c r="B237" i="21" l="1"/>
  <c r="F237" i="21" s="1"/>
  <c r="A238" i="21"/>
  <c r="H250" i="21"/>
  <c r="I249" i="21"/>
  <c r="M249" i="21" s="1"/>
  <c r="K248" i="21"/>
  <c r="J248" i="21"/>
  <c r="L248" i="21"/>
  <c r="D236" i="21"/>
  <c r="C236" i="21"/>
  <c r="E236" i="21"/>
  <c r="H251" i="21" l="1"/>
  <c r="I250" i="21"/>
  <c r="M250" i="21" s="1"/>
  <c r="A239" i="21"/>
  <c r="B238" i="21"/>
  <c r="F238" i="21" s="1"/>
  <c r="K249" i="21"/>
  <c r="L249" i="21"/>
  <c r="J249" i="21"/>
  <c r="C237" i="21"/>
  <c r="D237" i="21"/>
  <c r="E237" i="21"/>
  <c r="C238" i="21" l="1"/>
  <c r="D238" i="21"/>
  <c r="E238" i="21"/>
  <c r="B239" i="21"/>
  <c r="F239" i="21" s="1"/>
  <c r="A240" i="21"/>
  <c r="L250" i="21"/>
  <c r="K250" i="21"/>
  <c r="J250" i="21"/>
  <c r="H252" i="21"/>
  <c r="I251" i="21"/>
  <c r="M251" i="21" s="1"/>
  <c r="A241" i="21" l="1"/>
  <c r="B240" i="21"/>
  <c r="F240" i="21" s="1"/>
  <c r="C239" i="21"/>
  <c r="D239" i="21"/>
  <c r="E239" i="21"/>
  <c r="L251" i="21"/>
  <c r="J251" i="21"/>
  <c r="K251" i="21"/>
  <c r="H253" i="21"/>
  <c r="I252" i="21"/>
  <c r="M252" i="21" s="1"/>
  <c r="K252" i="21" l="1"/>
  <c r="L252" i="21"/>
  <c r="J252" i="21"/>
  <c r="H254" i="21"/>
  <c r="I253" i="21"/>
  <c r="M253" i="21" s="1"/>
  <c r="D240" i="21"/>
  <c r="C240" i="21"/>
  <c r="E240" i="21"/>
  <c r="A242" i="21"/>
  <c r="B241" i="21"/>
  <c r="F241" i="21" s="1"/>
  <c r="C241" i="21" l="1"/>
  <c r="D241" i="21"/>
  <c r="E241" i="21"/>
  <c r="K253" i="21"/>
  <c r="L253" i="21"/>
  <c r="J253" i="21"/>
  <c r="H255" i="21"/>
  <c r="I254" i="21"/>
  <c r="M254" i="21" s="1"/>
  <c r="A243" i="21"/>
  <c r="B242" i="21"/>
  <c r="F242" i="21" s="1"/>
  <c r="C242" i="21" l="1"/>
  <c r="D242" i="21"/>
  <c r="E242" i="21"/>
  <c r="L254" i="21"/>
  <c r="K254" i="21"/>
  <c r="J254" i="21"/>
  <c r="A244" i="21"/>
  <c r="B243" i="21"/>
  <c r="F243" i="21" s="1"/>
  <c r="H256" i="21"/>
  <c r="I255" i="21"/>
  <c r="M255" i="21" s="1"/>
  <c r="K255" i="21" l="1"/>
  <c r="L255" i="21"/>
  <c r="J255" i="21"/>
  <c r="H257" i="21"/>
  <c r="I256" i="21"/>
  <c r="M256" i="21" s="1"/>
  <c r="C243" i="21"/>
  <c r="D243" i="21"/>
  <c r="E243" i="21"/>
  <c r="B244" i="21"/>
  <c r="F244" i="21" s="1"/>
  <c r="A245" i="21"/>
  <c r="B245" i="21" l="1"/>
  <c r="F245" i="21" s="1"/>
  <c r="A246" i="21"/>
  <c r="J256" i="21"/>
  <c r="K256" i="21"/>
  <c r="L256" i="21"/>
  <c r="H258" i="21"/>
  <c r="I257" i="21"/>
  <c r="M257" i="21" s="1"/>
  <c r="D244" i="21"/>
  <c r="E244" i="21"/>
  <c r="C244" i="21"/>
  <c r="K257" i="21" l="1"/>
  <c r="L257" i="21"/>
  <c r="J257" i="21"/>
  <c r="H259" i="21"/>
  <c r="I258" i="21"/>
  <c r="M258" i="21" s="1"/>
  <c r="A247" i="21"/>
  <c r="B246" i="21"/>
  <c r="F246" i="21" s="1"/>
  <c r="C245" i="21"/>
  <c r="D245" i="21"/>
  <c r="E245" i="21"/>
  <c r="A248" i="21" l="1"/>
  <c r="B247" i="21"/>
  <c r="F247" i="21" s="1"/>
  <c r="L258" i="21"/>
  <c r="K258" i="21"/>
  <c r="J258" i="21"/>
  <c r="C246" i="21"/>
  <c r="D246" i="21"/>
  <c r="E246" i="21"/>
  <c r="H260" i="21"/>
  <c r="I259" i="21"/>
  <c r="M259" i="21" s="1"/>
  <c r="L259" i="21" l="1"/>
  <c r="J259" i="21"/>
  <c r="K259" i="21"/>
  <c r="C247" i="21"/>
  <c r="D247" i="21"/>
  <c r="E247" i="21"/>
  <c r="H261" i="21"/>
  <c r="I260" i="21"/>
  <c r="M260" i="21" s="1"/>
  <c r="A249" i="21"/>
  <c r="B248" i="21"/>
  <c r="F248" i="21" s="1"/>
  <c r="D248" i="21" l="1"/>
  <c r="C248" i="21"/>
  <c r="E248" i="21"/>
  <c r="A250" i="21"/>
  <c r="B249" i="21"/>
  <c r="F249" i="21" s="1"/>
  <c r="K260" i="21"/>
  <c r="L260" i="21"/>
  <c r="J260" i="21"/>
  <c r="H262" i="21"/>
  <c r="I261" i="21"/>
  <c r="M261" i="21" s="1"/>
  <c r="C249" i="21" l="1"/>
  <c r="D249" i="21"/>
  <c r="E249" i="21"/>
  <c r="A251" i="21"/>
  <c r="B250" i="21"/>
  <c r="F250" i="21" s="1"/>
  <c r="K261" i="21"/>
  <c r="L261" i="21"/>
  <c r="J261" i="21"/>
  <c r="H263" i="21"/>
  <c r="I262" i="21"/>
  <c r="M262" i="21" s="1"/>
  <c r="C250" i="21" l="1"/>
  <c r="D250" i="21"/>
  <c r="E250" i="21"/>
  <c r="A252" i="21"/>
  <c r="B251" i="21"/>
  <c r="F251" i="21" s="1"/>
  <c r="L262" i="21"/>
  <c r="K262" i="21"/>
  <c r="J262" i="21"/>
  <c r="H264" i="21"/>
  <c r="I263" i="21"/>
  <c r="M263" i="21" s="1"/>
  <c r="C251" i="21" l="1"/>
  <c r="D251" i="21"/>
  <c r="E251" i="21"/>
  <c r="A253" i="21"/>
  <c r="B252" i="21"/>
  <c r="F252" i="21" s="1"/>
  <c r="K263" i="21"/>
  <c r="L263" i="21"/>
  <c r="J263" i="21"/>
  <c r="H265" i="21"/>
  <c r="I264" i="21"/>
  <c r="M264" i="21" s="1"/>
  <c r="H266" i="21" l="1"/>
  <c r="I265" i="21"/>
  <c r="M265" i="21" s="1"/>
  <c r="D252" i="21"/>
  <c r="C252" i="21"/>
  <c r="E252" i="21"/>
  <c r="A254" i="21"/>
  <c r="B253" i="21"/>
  <c r="F253" i="21" s="1"/>
  <c r="K264" i="21"/>
  <c r="J264" i="21"/>
  <c r="L264" i="21"/>
  <c r="C253" i="21" l="1"/>
  <c r="D253" i="21"/>
  <c r="E253" i="21"/>
  <c r="A255" i="21"/>
  <c r="B254" i="21"/>
  <c r="F254" i="21" s="1"/>
  <c r="K265" i="21"/>
  <c r="L265" i="21"/>
  <c r="J265" i="21"/>
  <c r="H267" i="21"/>
  <c r="I266" i="21"/>
  <c r="M266" i="21" s="1"/>
  <c r="C254" i="21" l="1"/>
  <c r="D254" i="21"/>
  <c r="E254" i="21"/>
  <c r="A256" i="21"/>
  <c r="B255" i="21"/>
  <c r="F255" i="21" s="1"/>
  <c r="L266" i="21"/>
  <c r="K266" i="21"/>
  <c r="J266" i="21"/>
  <c r="H268" i="21"/>
  <c r="I267" i="21"/>
  <c r="M267" i="21" s="1"/>
  <c r="K267" i="21" l="1"/>
  <c r="J267" i="21"/>
  <c r="L267" i="21"/>
  <c r="C255" i="21"/>
  <c r="D255" i="21"/>
  <c r="E255" i="21"/>
  <c r="B256" i="21"/>
  <c r="F256" i="21" s="1"/>
  <c r="A257" i="21"/>
  <c r="H269" i="21"/>
  <c r="I268" i="21"/>
  <c r="M268" i="21" s="1"/>
  <c r="K268" i="21" l="1"/>
  <c r="L268" i="21"/>
  <c r="J268" i="21"/>
  <c r="H270" i="21"/>
  <c r="I269" i="21"/>
  <c r="M269" i="21" s="1"/>
  <c r="A258" i="21"/>
  <c r="B257" i="21"/>
  <c r="F257" i="21" s="1"/>
  <c r="D256" i="21"/>
  <c r="C256" i="21"/>
  <c r="E256" i="21"/>
  <c r="A259" i="21" l="1"/>
  <c r="B258" i="21"/>
  <c r="F258" i="21" s="1"/>
  <c r="K269" i="21"/>
  <c r="L269" i="21"/>
  <c r="J269" i="21"/>
  <c r="C257" i="21"/>
  <c r="D257" i="21"/>
  <c r="E257" i="21"/>
  <c r="H271" i="21"/>
  <c r="I270" i="21"/>
  <c r="M270" i="21" s="1"/>
  <c r="L270" i="21" l="1"/>
  <c r="K270" i="21"/>
  <c r="J270" i="21"/>
  <c r="H272" i="21"/>
  <c r="I271" i="21"/>
  <c r="M271" i="21" s="1"/>
  <c r="C258" i="21"/>
  <c r="D258" i="21"/>
  <c r="E258" i="21"/>
  <c r="A260" i="21"/>
  <c r="B259" i="21"/>
  <c r="F259" i="21" s="1"/>
  <c r="K271" i="21" l="1"/>
  <c r="L271" i="21"/>
  <c r="J271" i="21"/>
  <c r="H273" i="21"/>
  <c r="I272" i="21"/>
  <c r="M272" i="21" s="1"/>
  <c r="C259" i="21"/>
  <c r="D259" i="21"/>
  <c r="E259" i="21"/>
  <c r="B260" i="21"/>
  <c r="F260" i="21" s="1"/>
  <c r="A261" i="21"/>
  <c r="J272" i="21" l="1"/>
  <c r="K272" i="21"/>
  <c r="L272" i="21"/>
  <c r="H274" i="21"/>
  <c r="I273" i="21"/>
  <c r="M273" i="21" s="1"/>
  <c r="B261" i="21"/>
  <c r="F261" i="21" s="1"/>
  <c r="A262" i="21"/>
  <c r="D260" i="21"/>
  <c r="E260" i="21"/>
  <c r="C260" i="21"/>
  <c r="A263" i="21" l="1"/>
  <c r="B262" i="21"/>
  <c r="F262" i="21" s="1"/>
  <c r="C261" i="21"/>
  <c r="D261" i="21"/>
  <c r="E261" i="21"/>
  <c r="K273" i="21"/>
  <c r="L273" i="21"/>
  <c r="J273" i="21"/>
  <c r="H275" i="21"/>
  <c r="I274" i="21"/>
  <c r="M274" i="21" s="1"/>
  <c r="L274" i="21" l="1"/>
  <c r="K274" i="21"/>
  <c r="J274" i="21"/>
  <c r="H276" i="21"/>
  <c r="I275" i="21"/>
  <c r="M275" i="21" s="1"/>
  <c r="C262" i="21"/>
  <c r="D262" i="21"/>
  <c r="E262" i="21"/>
  <c r="B263" i="21"/>
  <c r="F263" i="21" s="1"/>
  <c r="A264" i="21"/>
  <c r="L275" i="21" l="1"/>
  <c r="K275" i="21"/>
  <c r="J275" i="21"/>
  <c r="H277" i="21"/>
  <c r="I276" i="21"/>
  <c r="M276" i="21" s="1"/>
  <c r="A265" i="21"/>
  <c r="B264" i="21"/>
  <c r="F264" i="21" s="1"/>
  <c r="C263" i="21"/>
  <c r="D263" i="21"/>
  <c r="E263" i="21"/>
  <c r="D264" i="21" l="1"/>
  <c r="C264" i="21"/>
  <c r="E264" i="21"/>
  <c r="A266" i="21"/>
  <c r="B265" i="21"/>
  <c r="F265" i="21" s="1"/>
  <c r="K276" i="21"/>
  <c r="L276" i="21"/>
  <c r="J276" i="21"/>
  <c r="H278" i="21"/>
  <c r="I277" i="21"/>
  <c r="M277" i="21" s="1"/>
  <c r="C265" i="21" l="1"/>
  <c r="D265" i="21"/>
  <c r="E265" i="21"/>
  <c r="A267" i="21"/>
  <c r="B266" i="21"/>
  <c r="F266" i="21" s="1"/>
  <c r="K277" i="21"/>
  <c r="L277" i="21"/>
  <c r="J277" i="21"/>
  <c r="H279" i="21"/>
  <c r="I278" i="21"/>
  <c r="M278" i="21" s="1"/>
  <c r="C266" i="21" l="1"/>
  <c r="D266" i="21"/>
  <c r="E266" i="21"/>
  <c r="B267" i="21"/>
  <c r="F267" i="21" s="1"/>
  <c r="A268" i="21"/>
  <c r="L278" i="21"/>
  <c r="K278" i="21"/>
  <c r="J278" i="21"/>
  <c r="H280" i="21"/>
  <c r="I279" i="21"/>
  <c r="M279" i="21" s="1"/>
  <c r="A269" i="21" l="1"/>
  <c r="B268" i="21"/>
  <c r="F268" i="21" s="1"/>
  <c r="C267" i="21"/>
  <c r="D267" i="21"/>
  <c r="E267" i="21"/>
  <c r="K279" i="21"/>
  <c r="L279" i="21"/>
  <c r="J279" i="21"/>
  <c r="H281" i="21"/>
  <c r="I280" i="21"/>
  <c r="M280" i="21" s="1"/>
  <c r="K280" i="21" l="1"/>
  <c r="J280" i="21"/>
  <c r="L280" i="21"/>
  <c r="H282" i="21"/>
  <c r="I281" i="21"/>
  <c r="M281" i="21" s="1"/>
  <c r="D268" i="21"/>
  <c r="C268" i="21"/>
  <c r="E268" i="21"/>
  <c r="A270" i="21"/>
  <c r="B269" i="21"/>
  <c r="F269" i="21" s="1"/>
  <c r="K281" i="21" l="1"/>
  <c r="L281" i="21"/>
  <c r="J281" i="21"/>
  <c r="H283" i="21"/>
  <c r="I282" i="21"/>
  <c r="M282" i="21" s="1"/>
  <c r="C269" i="21"/>
  <c r="D269" i="21"/>
  <c r="E269" i="21"/>
  <c r="B270" i="21"/>
  <c r="F270" i="21" s="1"/>
  <c r="A271" i="21"/>
  <c r="L282" i="21" l="1"/>
  <c r="K282" i="21"/>
  <c r="J282" i="21"/>
  <c r="H284" i="21"/>
  <c r="I283" i="21"/>
  <c r="M283" i="21" s="1"/>
  <c r="B271" i="21"/>
  <c r="F271" i="21" s="1"/>
  <c r="A272" i="21"/>
  <c r="C270" i="21"/>
  <c r="D270" i="21"/>
  <c r="E270" i="21"/>
  <c r="B272" i="21" l="1"/>
  <c r="F272" i="21" s="1"/>
  <c r="A273" i="21"/>
  <c r="L283" i="21"/>
  <c r="J283" i="21"/>
  <c r="K283" i="21"/>
  <c r="C271" i="21"/>
  <c r="D271" i="21"/>
  <c r="E271" i="21"/>
  <c r="H285" i="21"/>
  <c r="I284" i="21"/>
  <c r="M284" i="21" s="1"/>
  <c r="H286" i="21" l="1"/>
  <c r="I285" i="21"/>
  <c r="M285" i="21" s="1"/>
  <c r="K284" i="21"/>
  <c r="L284" i="21"/>
  <c r="J284" i="21"/>
  <c r="B273" i="21"/>
  <c r="F273" i="21" s="1"/>
  <c r="A274" i="21"/>
  <c r="D272" i="21"/>
  <c r="C272" i="21"/>
  <c r="E272" i="21"/>
  <c r="C273" i="21" l="1"/>
  <c r="D273" i="21"/>
  <c r="E273" i="21"/>
  <c r="A275" i="21"/>
  <c r="B274" i="21"/>
  <c r="F274" i="21" s="1"/>
  <c r="K285" i="21"/>
  <c r="L285" i="21"/>
  <c r="J285" i="21"/>
  <c r="H287" i="21"/>
  <c r="I286" i="21"/>
  <c r="M286" i="21" s="1"/>
  <c r="C274" i="21" l="1"/>
  <c r="D274" i="21"/>
  <c r="E274" i="21"/>
  <c r="A276" i="21"/>
  <c r="B275" i="21"/>
  <c r="F275" i="21" s="1"/>
  <c r="L286" i="21"/>
  <c r="K286" i="21"/>
  <c r="J286" i="21"/>
  <c r="H288" i="21"/>
  <c r="I287" i="21"/>
  <c r="M287" i="21" s="1"/>
  <c r="C275" i="21" l="1"/>
  <c r="D275" i="21"/>
  <c r="E275" i="21"/>
  <c r="A277" i="21"/>
  <c r="B276" i="21"/>
  <c r="F276" i="21" s="1"/>
  <c r="L287" i="21"/>
  <c r="K287" i="21"/>
  <c r="J287" i="21"/>
  <c r="H289" i="21"/>
  <c r="I288" i="21"/>
  <c r="M288" i="21" s="1"/>
  <c r="D276" i="21" l="1"/>
  <c r="E276" i="21"/>
  <c r="C276" i="21"/>
  <c r="A278" i="21"/>
  <c r="B277" i="21"/>
  <c r="F277" i="21" s="1"/>
  <c r="H290" i="21"/>
  <c r="I289" i="21"/>
  <c r="M289" i="21" s="1"/>
  <c r="J288" i="21"/>
  <c r="K288" i="21"/>
  <c r="L288" i="21"/>
  <c r="K289" i="21" l="1"/>
  <c r="L289" i="21"/>
  <c r="J289" i="21"/>
  <c r="H291" i="21"/>
  <c r="I290" i="21"/>
  <c r="M290" i="21" s="1"/>
  <c r="C277" i="21"/>
  <c r="D277" i="21"/>
  <c r="E277" i="21"/>
  <c r="A279" i="21"/>
  <c r="B278" i="21"/>
  <c r="F278" i="21" s="1"/>
  <c r="K290" i="21" l="1"/>
  <c r="L290" i="21"/>
  <c r="J290" i="21"/>
  <c r="H292" i="21"/>
  <c r="I291" i="21"/>
  <c r="M291" i="21" s="1"/>
  <c r="C278" i="21"/>
  <c r="D278" i="21"/>
  <c r="E278" i="21"/>
  <c r="A280" i="21"/>
  <c r="B279" i="21"/>
  <c r="F279" i="21" s="1"/>
  <c r="K291" i="21" l="1"/>
  <c r="J291" i="21"/>
  <c r="L291" i="21"/>
  <c r="H293" i="21"/>
  <c r="I292" i="21"/>
  <c r="M292" i="21" s="1"/>
  <c r="C279" i="21"/>
  <c r="D279" i="21"/>
  <c r="E279" i="21"/>
  <c r="A281" i="21"/>
  <c r="B280" i="21"/>
  <c r="F280" i="21" s="1"/>
  <c r="K292" i="21" l="1"/>
  <c r="J292" i="21"/>
  <c r="L292" i="21"/>
  <c r="H294" i="21"/>
  <c r="I293" i="21"/>
  <c r="M293" i="21" s="1"/>
  <c r="D280" i="21"/>
  <c r="C280" i="21"/>
  <c r="E280" i="21"/>
  <c r="B281" i="21"/>
  <c r="F281" i="21" s="1"/>
  <c r="A282" i="21"/>
  <c r="K293" i="21" l="1"/>
  <c r="L293" i="21"/>
  <c r="J293" i="21"/>
  <c r="H295" i="21"/>
  <c r="I294" i="21"/>
  <c r="M294" i="21" s="1"/>
  <c r="A283" i="21"/>
  <c r="B282" i="21"/>
  <c r="F282" i="21" s="1"/>
  <c r="C281" i="21"/>
  <c r="D281" i="21"/>
  <c r="E281" i="21"/>
  <c r="L294" i="21" l="1"/>
  <c r="K294" i="21"/>
  <c r="J294" i="21"/>
  <c r="C282" i="21"/>
  <c r="D282" i="21"/>
  <c r="E282" i="21"/>
  <c r="A284" i="21"/>
  <c r="B283" i="21"/>
  <c r="F283" i="21" s="1"/>
  <c r="H296" i="21"/>
  <c r="I295" i="21"/>
  <c r="M295" i="21" s="1"/>
  <c r="L295" i="21" l="1"/>
  <c r="K295" i="21"/>
  <c r="J295" i="21"/>
  <c r="H297" i="21"/>
  <c r="I296" i="21"/>
  <c r="M296" i="21" s="1"/>
  <c r="C283" i="21"/>
  <c r="D283" i="21"/>
  <c r="E283" i="21"/>
  <c r="A285" i="21"/>
  <c r="B284" i="21"/>
  <c r="F284" i="21" s="1"/>
  <c r="J296" i="21" l="1"/>
  <c r="K296" i="21"/>
  <c r="L296" i="21"/>
  <c r="H298" i="21"/>
  <c r="I297" i="21"/>
  <c r="M297" i="21" s="1"/>
  <c r="D284" i="21"/>
  <c r="C284" i="21"/>
  <c r="E284" i="21"/>
  <c r="A286" i="21"/>
  <c r="B285" i="21"/>
  <c r="F285" i="21" s="1"/>
  <c r="K297" i="21" l="1"/>
  <c r="L297" i="21"/>
  <c r="J297" i="21"/>
  <c r="H299" i="21"/>
  <c r="I298" i="21"/>
  <c r="M298" i="21" s="1"/>
  <c r="C285" i="21"/>
  <c r="D285" i="21"/>
  <c r="E285" i="21"/>
  <c r="A287" i="21"/>
  <c r="B286" i="21"/>
  <c r="F286" i="21" s="1"/>
  <c r="K298" i="21" l="1"/>
  <c r="L298" i="21"/>
  <c r="J298" i="21"/>
  <c r="C286" i="21"/>
  <c r="D286" i="21"/>
  <c r="E286" i="21"/>
  <c r="H300" i="21"/>
  <c r="I299" i="21"/>
  <c r="M299" i="21" s="1"/>
  <c r="A288" i="21"/>
  <c r="B287" i="21"/>
  <c r="F287" i="21" s="1"/>
  <c r="C287" i="21" l="1"/>
  <c r="D287" i="21"/>
  <c r="E287" i="21"/>
  <c r="A289" i="21"/>
  <c r="B288" i="21"/>
  <c r="F288" i="21" s="1"/>
  <c r="L299" i="21"/>
  <c r="J299" i="21"/>
  <c r="K299" i="21"/>
  <c r="H301" i="21"/>
  <c r="I300" i="21"/>
  <c r="M300" i="21" s="1"/>
  <c r="D288" i="21" l="1"/>
  <c r="C288" i="21"/>
  <c r="E288" i="21"/>
  <c r="A290" i="21"/>
  <c r="B289" i="21"/>
  <c r="F289" i="21" s="1"/>
  <c r="K300" i="21"/>
  <c r="L300" i="21"/>
  <c r="J300" i="21"/>
  <c r="H302" i="21"/>
  <c r="I301" i="21"/>
  <c r="M301" i="21" s="1"/>
  <c r="C289" i="21" l="1"/>
  <c r="D289" i="21"/>
  <c r="E289" i="21"/>
  <c r="B290" i="21"/>
  <c r="F290" i="21" s="1"/>
  <c r="A291" i="21"/>
  <c r="H303" i="21"/>
  <c r="I302" i="21"/>
  <c r="M302" i="21" s="1"/>
  <c r="K301" i="21"/>
  <c r="L301" i="21"/>
  <c r="J301" i="21"/>
  <c r="L302" i="21" l="1"/>
  <c r="K302" i="21"/>
  <c r="J302" i="21"/>
  <c r="H304" i="21"/>
  <c r="I303" i="21"/>
  <c r="M303" i="21" s="1"/>
  <c r="A292" i="21"/>
  <c r="B291" i="21"/>
  <c r="F291" i="21" s="1"/>
  <c r="C290" i="21"/>
  <c r="D290" i="21"/>
  <c r="E290" i="21"/>
  <c r="L303" i="21" l="1"/>
  <c r="K303" i="21"/>
  <c r="J303" i="21"/>
  <c r="C291" i="21"/>
  <c r="D291" i="21"/>
  <c r="E291" i="21"/>
  <c r="B292" i="21"/>
  <c r="F292" i="21" s="1"/>
  <c r="A293" i="21"/>
  <c r="H305" i="21"/>
  <c r="I304" i="21"/>
  <c r="M304" i="21" s="1"/>
  <c r="J304" i="21" l="1"/>
  <c r="K304" i="21"/>
  <c r="L304" i="21"/>
  <c r="H306" i="21"/>
  <c r="I305" i="21"/>
  <c r="M305" i="21" s="1"/>
  <c r="B293" i="21"/>
  <c r="F293" i="21" s="1"/>
  <c r="A294" i="21"/>
  <c r="D292" i="21"/>
  <c r="E292" i="21"/>
  <c r="C292" i="21"/>
  <c r="C293" i="21" l="1"/>
  <c r="D293" i="21"/>
  <c r="E293" i="21"/>
  <c r="K305" i="21"/>
  <c r="L305" i="21"/>
  <c r="J305" i="21"/>
  <c r="A295" i="21"/>
  <c r="B294" i="21"/>
  <c r="F294" i="21" s="1"/>
  <c r="H307" i="21"/>
  <c r="I306" i="21"/>
  <c r="M306" i="21" s="1"/>
  <c r="K306" i="21" l="1"/>
  <c r="L306" i="21"/>
  <c r="J306" i="21"/>
  <c r="H308" i="21"/>
  <c r="I307" i="21"/>
  <c r="M307" i="21" s="1"/>
  <c r="C294" i="21"/>
  <c r="D294" i="21"/>
  <c r="E294" i="21"/>
  <c r="A296" i="21"/>
  <c r="B295" i="21"/>
  <c r="F295" i="21" s="1"/>
  <c r="K307" i="21" l="1"/>
  <c r="J307" i="21"/>
  <c r="L307" i="21"/>
  <c r="H309" i="21"/>
  <c r="I308" i="21"/>
  <c r="M308" i="21" s="1"/>
  <c r="C295" i="21"/>
  <c r="D295" i="21"/>
  <c r="E295" i="21"/>
  <c r="A297" i="21"/>
  <c r="B296" i="21"/>
  <c r="F296" i="21" s="1"/>
  <c r="K308" i="21" l="1"/>
  <c r="J308" i="21"/>
  <c r="L308" i="21"/>
  <c r="D296" i="21"/>
  <c r="C296" i="21"/>
  <c r="E296" i="21"/>
  <c r="H310" i="21"/>
  <c r="I309" i="21"/>
  <c r="M309" i="21" s="1"/>
  <c r="A298" i="21"/>
  <c r="B297" i="21"/>
  <c r="F297" i="21" s="1"/>
  <c r="C297" i="21" l="1"/>
  <c r="D297" i="21"/>
  <c r="E297" i="21"/>
  <c r="A299" i="21"/>
  <c r="B298" i="21"/>
  <c r="F298" i="21" s="1"/>
  <c r="K309" i="21"/>
  <c r="L309" i="21"/>
  <c r="J309" i="21"/>
  <c r="H311" i="21"/>
  <c r="I310" i="21"/>
  <c r="M310" i="21" s="1"/>
  <c r="C298" i="21" l="1"/>
  <c r="D298" i="21"/>
  <c r="E298" i="21"/>
  <c r="A300" i="21"/>
  <c r="B299" i="21"/>
  <c r="F299" i="21" s="1"/>
  <c r="L310" i="21"/>
  <c r="K310" i="21"/>
  <c r="J310" i="21"/>
  <c r="H312" i="21"/>
  <c r="I311" i="21"/>
  <c r="M311" i="21" s="1"/>
  <c r="C299" i="21" l="1"/>
  <c r="D299" i="21"/>
  <c r="E299" i="21"/>
  <c r="L311" i="21"/>
  <c r="K311" i="21"/>
  <c r="J311" i="21"/>
  <c r="A301" i="21"/>
  <c r="B300" i="21"/>
  <c r="F300" i="21" s="1"/>
  <c r="H313" i="21"/>
  <c r="I312" i="21"/>
  <c r="M312" i="21" s="1"/>
  <c r="J312" i="21" l="1"/>
  <c r="K312" i="21"/>
  <c r="L312" i="21"/>
  <c r="H314" i="21"/>
  <c r="I313" i="21"/>
  <c r="M313" i="21" s="1"/>
  <c r="D300" i="21"/>
  <c r="C300" i="21"/>
  <c r="E300" i="21"/>
  <c r="A302" i="21"/>
  <c r="B301" i="21"/>
  <c r="F301" i="21" s="1"/>
  <c r="K313" i="21" l="1"/>
  <c r="L313" i="21"/>
  <c r="J313" i="21"/>
  <c r="H315" i="21"/>
  <c r="I314" i="21"/>
  <c r="M314" i="21" s="1"/>
  <c r="C301" i="21"/>
  <c r="D301" i="21"/>
  <c r="E301" i="21"/>
  <c r="A303" i="21"/>
  <c r="B302" i="21"/>
  <c r="F302" i="21" s="1"/>
  <c r="K314" i="21" l="1"/>
  <c r="L314" i="21"/>
  <c r="J314" i="21"/>
  <c r="H316" i="21"/>
  <c r="I315" i="21"/>
  <c r="M315" i="21" s="1"/>
  <c r="D302" i="21"/>
  <c r="C302" i="21"/>
  <c r="E302" i="21"/>
  <c r="A304" i="21"/>
  <c r="B303" i="21"/>
  <c r="F303" i="21" s="1"/>
  <c r="L315" i="21" l="1"/>
  <c r="J315" i="21"/>
  <c r="K315" i="21"/>
  <c r="H317" i="21"/>
  <c r="I316" i="21"/>
  <c r="M316" i="21" s="1"/>
  <c r="C303" i="21"/>
  <c r="D303" i="21"/>
  <c r="E303" i="21"/>
  <c r="A305" i="21"/>
  <c r="B304" i="21"/>
  <c r="F304" i="21" s="1"/>
  <c r="D304" i="21" l="1"/>
  <c r="E304" i="21"/>
  <c r="C304" i="21"/>
  <c r="K316" i="21"/>
  <c r="L316" i="21"/>
  <c r="J316" i="21"/>
  <c r="H318" i="21"/>
  <c r="I317" i="21"/>
  <c r="M317" i="21" s="1"/>
  <c r="A306" i="21"/>
  <c r="B305" i="21"/>
  <c r="F305" i="21" s="1"/>
  <c r="C305" i="21" l="1"/>
  <c r="D305" i="21"/>
  <c r="E305" i="21"/>
  <c r="H319" i="21"/>
  <c r="I318" i="21"/>
  <c r="M318" i="21" s="1"/>
  <c r="A307" i="21"/>
  <c r="B306" i="21"/>
  <c r="F306" i="21" s="1"/>
  <c r="K317" i="21"/>
  <c r="L317" i="21"/>
  <c r="J317" i="21"/>
  <c r="A308" i="21" l="1"/>
  <c r="B307" i="21"/>
  <c r="F307" i="21" s="1"/>
  <c r="L318" i="21"/>
  <c r="K318" i="21"/>
  <c r="J318" i="21"/>
  <c r="D306" i="21"/>
  <c r="C306" i="21"/>
  <c r="E306" i="21"/>
  <c r="H320" i="21"/>
  <c r="I319" i="21"/>
  <c r="M319" i="21" s="1"/>
  <c r="H321" i="21" l="1"/>
  <c r="I320" i="21"/>
  <c r="M320" i="21" s="1"/>
  <c r="L319" i="21"/>
  <c r="J319" i="21"/>
  <c r="K319" i="21"/>
  <c r="C307" i="21"/>
  <c r="D307" i="21"/>
  <c r="E307" i="21"/>
  <c r="A309" i="21"/>
  <c r="B308" i="21"/>
  <c r="F308" i="21" s="1"/>
  <c r="D308" i="21" l="1"/>
  <c r="C308" i="21"/>
  <c r="E308" i="21"/>
  <c r="H322" i="21"/>
  <c r="I321" i="21"/>
  <c r="M321" i="21" s="1"/>
  <c r="A310" i="21"/>
  <c r="B309" i="21"/>
  <c r="F309" i="21" s="1"/>
  <c r="J320" i="21"/>
  <c r="K320" i="21"/>
  <c r="L320" i="21"/>
  <c r="K321" i="21" l="1"/>
  <c r="L321" i="21"/>
  <c r="J321" i="21"/>
  <c r="C309" i="21"/>
  <c r="D309" i="21"/>
  <c r="E309" i="21"/>
  <c r="A311" i="21"/>
  <c r="B310" i="21"/>
  <c r="F310" i="21" s="1"/>
  <c r="H323" i="21"/>
  <c r="I322" i="21"/>
  <c r="M322" i="21" s="1"/>
  <c r="K322" i="21" l="1"/>
  <c r="L322" i="21"/>
  <c r="J322" i="21"/>
  <c r="H324" i="21"/>
  <c r="I323" i="21"/>
  <c r="M323" i="21" s="1"/>
  <c r="D310" i="21"/>
  <c r="C310" i="21"/>
  <c r="E310" i="21"/>
  <c r="A312" i="21"/>
  <c r="B311" i="21"/>
  <c r="F311" i="21" s="1"/>
  <c r="K323" i="21" l="1"/>
  <c r="J323" i="21"/>
  <c r="L323" i="21"/>
  <c r="C311" i="21"/>
  <c r="D311" i="21"/>
  <c r="E311" i="21"/>
  <c r="H325" i="21"/>
  <c r="I324" i="21"/>
  <c r="M324" i="21" s="1"/>
  <c r="A313" i="21"/>
  <c r="B312" i="21"/>
  <c r="F312" i="21" s="1"/>
  <c r="A314" i="21" l="1"/>
  <c r="B313" i="21"/>
  <c r="F313" i="21" s="1"/>
  <c r="K324" i="21"/>
  <c r="J324" i="21"/>
  <c r="L324" i="21"/>
  <c r="D312" i="21"/>
  <c r="E312" i="21"/>
  <c r="C312" i="21"/>
  <c r="H326" i="21"/>
  <c r="I325" i="21"/>
  <c r="M325" i="21" s="1"/>
  <c r="K325" i="21" l="1"/>
  <c r="L325" i="21"/>
  <c r="J325" i="21"/>
  <c r="H327" i="21"/>
  <c r="I326" i="21"/>
  <c r="M326" i="21" s="1"/>
  <c r="C313" i="21"/>
  <c r="D313" i="21"/>
  <c r="E313" i="21"/>
  <c r="A315" i="21"/>
  <c r="B314" i="21"/>
  <c r="F314" i="21" s="1"/>
  <c r="L326" i="21" l="1"/>
  <c r="K326" i="21"/>
  <c r="J326" i="21"/>
  <c r="H328" i="21"/>
  <c r="I327" i="21"/>
  <c r="M327" i="21" s="1"/>
  <c r="D314" i="21"/>
  <c r="C314" i="21"/>
  <c r="E314" i="21"/>
  <c r="A316" i="21"/>
  <c r="B315" i="21"/>
  <c r="F315" i="21" s="1"/>
  <c r="L327" i="21" l="1"/>
  <c r="K327" i="21"/>
  <c r="J327" i="21"/>
  <c r="H329" i="21"/>
  <c r="I328" i="21"/>
  <c r="M328" i="21" s="1"/>
  <c r="C315" i="21"/>
  <c r="D315" i="21"/>
  <c r="E315" i="21"/>
  <c r="A317" i="21"/>
  <c r="B316" i="21"/>
  <c r="F316" i="21" s="1"/>
  <c r="D316" i="21" l="1"/>
  <c r="C316" i="21"/>
  <c r="E316" i="21"/>
  <c r="J328" i="21"/>
  <c r="K328" i="21"/>
  <c r="L328" i="21"/>
  <c r="H330" i="21"/>
  <c r="I329" i="21"/>
  <c r="M329" i="21" s="1"/>
  <c r="A318" i="21"/>
  <c r="B317" i="21"/>
  <c r="F317" i="21" s="1"/>
  <c r="C317" i="21" l="1"/>
  <c r="D317" i="21"/>
  <c r="E317" i="21"/>
  <c r="A319" i="21"/>
  <c r="B318" i="21"/>
  <c r="F318" i="21" s="1"/>
  <c r="K329" i="21"/>
  <c r="L329" i="21"/>
  <c r="J329" i="21"/>
  <c r="H331" i="21"/>
  <c r="I330" i="21"/>
  <c r="M330" i="21" s="1"/>
  <c r="D318" i="21" l="1"/>
  <c r="C318" i="21"/>
  <c r="E318" i="21"/>
  <c r="B319" i="21"/>
  <c r="F319" i="21" s="1"/>
  <c r="A320" i="21"/>
  <c r="K330" i="21"/>
  <c r="L330" i="21"/>
  <c r="J330" i="21"/>
  <c r="H332" i="21"/>
  <c r="I331" i="21"/>
  <c r="M331" i="21" s="1"/>
  <c r="A321" i="21" l="1"/>
  <c r="B320" i="21"/>
  <c r="F320" i="21" s="1"/>
  <c r="C319" i="21"/>
  <c r="D319" i="21"/>
  <c r="E319" i="21"/>
  <c r="L331" i="21"/>
  <c r="J331" i="21"/>
  <c r="K331" i="21"/>
  <c r="H333" i="21"/>
  <c r="I332" i="21"/>
  <c r="M332" i="21" s="1"/>
  <c r="K332" i="21" l="1"/>
  <c r="L332" i="21"/>
  <c r="J332" i="21"/>
  <c r="H334" i="21"/>
  <c r="I333" i="21"/>
  <c r="M333" i="21" s="1"/>
  <c r="D320" i="21"/>
  <c r="E320" i="21"/>
  <c r="C320" i="21"/>
  <c r="A322" i="21"/>
  <c r="B321" i="21"/>
  <c r="F321" i="21" s="1"/>
  <c r="K333" i="21" l="1"/>
  <c r="L333" i="21"/>
  <c r="J333" i="21"/>
  <c r="H335" i="21"/>
  <c r="I334" i="21"/>
  <c r="M334" i="21" s="1"/>
  <c r="C321" i="21"/>
  <c r="D321" i="21"/>
  <c r="E321" i="21"/>
  <c r="A323" i="21"/>
  <c r="B322" i="21"/>
  <c r="F322" i="21" s="1"/>
  <c r="L334" i="21" l="1"/>
  <c r="K334" i="21"/>
  <c r="J334" i="21"/>
  <c r="H336" i="21"/>
  <c r="I335" i="21"/>
  <c r="M335" i="21" s="1"/>
  <c r="D322" i="21"/>
  <c r="C322" i="21"/>
  <c r="E322" i="21"/>
  <c r="A324" i="21"/>
  <c r="B323" i="21"/>
  <c r="F323" i="21" s="1"/>
  <c r="A325" i="21" l="1"/>
  <c r="B324" i="21"/>
  <c r="F324" i="21" s="1"/>
  <c r="L335" i="21"/>
  <c r="J335" i="21"/>
  <c r="K335" i="21"/>
  <c r="H337" i="21"/>
  <c r="I336" i="21"/>
  <c r="M336" i="21" s="1"/>
  <c r="C323" i="21"/>
  <c r="D323" i="21"/>
  <c r="E323" i="21"/>
  <c r="J336" i="21" l="1"/>
  <c r="K336" i="21"/>
  <c r="L336" i="21"/>
  <c r="H338" i="21"/>
  <c r="I337" i="21"/>
  <c r="M337" i="21" s="1"/>
  <c r="D324" i="21"/>
  <c r="C324" i="21"/>
  <c r="E324" i="21"/>
  <c r="A326" i="21"/>
  <c r="B325" i="21"/>
  <c r="F325" i="21" s="1"/>
  <c r="K337" i="21" l="1"/>
  <c r="L337" i="21"/>
  <c r="J337" i="21"/>
  <c r="H339" i="21"/>
  <c r="I338" i="21"/>
  <c r="M338" i="21" s="1"/>
  <c r="C325" i="21"/>
  <c r="D325" i="21"/>
  <c r="E325" i="21"/>
  <c r="A327" i="21"/>
  <c r="B326" i="21"/>
  <c r="F326" i="21" s="1"/>
  <c r="K338" i="21" l="1"/>
  <c r="L338" i="21"/>
  <c r="J338" i="21"/>
  <c r="H340" i="21"/>
  <c r="I339" i="21"/>
  <c r="M339" i="21" s="1"/>
  <c r="D326" i="21"/>
  <c r="C326" i="21"/>
  <c r="E326" i="21"/>
  <c r="A328" i="21"/>
  <c r="B327" i="21"/>
  <c r="F327" i="21" s="1"/>
  <c r="K339" i="21" l="1"/>
  <c r="J339" i="21"/>
  <c r="L339" i="21"/>
  <c r="H341" i="21"/>
  <c r="I340" i="21"/>
  <c r="M340" i="21" s="1"/>
  <c r="C327" i="21"/>
  <c r="D327" i="21"/>
  <c r="E327" i="21"/>
  <c r="A329" i="21"/>
  <c r="B328" i="21"/>
  <c r="F328" i="21" s="1"/>
  <c r="A330" i="21" l="1"/>
  <c r="B329" i="21"/>
  <c r="F329" i="21" s="1"/>
  <c r="K340" i="21"/>
  <c r="J340" i="21"/>
  <c r="L340" i="21"/>
  <c r="H342" i="21"/>
  <c r="I341" i="21"/>
  <c r="M341" i="21" s="1"/>
  <c r="D328" i="21"/>
  <c r="E328" i="21"/>
  <c r="C328" i="21"/>
  <c r="H343" i="21" l="1"/>
  <c r="I342" i="21"/>
  <c r="M342" i="21" s="1"/>
  <c r="K341" i="21"/>
  <c r="L341" i="21"/>
  <c r="J341" i="21"/>
  <c r="C329" i="21"/>
  <c r="D329" i="21"/>
  <c r="E329" i="21"/>
  <c r="A331" i="21"/>
  <c r="B330" i="21"/>
  <c r="F330" i="21" s="1"/>
  <c r="D330" i="21" l="1"/>
  <c r="C330" i="21"/>
  <c r="E330" i="21"/>
  <c r="A332" i="21"/>
  <c r="B331" i="21"/>
  <c r="F331" i="21" s="1"/>
  <c r="L342" i="21"/>
  <c r="K342" i="21"/>
  <c r="J342" i="21"/>
  <c r="H344" i="21"/>
  <c r="I343" i="21"/>
  <c r="M343" i="21" s="1"/>
  <c r="C331" i="21" l="1"/>
  <c r="D331" i="21"/>
  <c r="E331" i="21"/>
  <c r="A333" i="21"/>
  <c r="B332" i="21"/>
  <c r="F332" i="21" s="1"/>
  <c r="L343" i="21"/>
  <c r="K343" i="21"/>
  <c r="J343" i="21"/>
  <c r="H345" i="21"/>
  <c r="I344" i="21"/>
  <c r="M344" i="21" s="1"/>
  <c r="D332" i="21" l="1"/>
  <c r="C332" i="21"/>
  <c r="E332" i="21"/>
  <c r="A334" i="21"/>
  <c r="B333" i="21"/>
  <c r="F333" i="21" s="1"/>
  <c r="J344" i="21"/>
  <c r="K344" i="21"/>
  <c r="L344" i="21"/>
  <c r="H346" i="21"/>
  <c r="I345" i="21"/>
  <c r="M345" i="21" s="1"/>
  <c r="C333" i="21" l="1"/>
  <c r="D333" i="21"/>
  <c r="E333" i="21"/>
  <c r="A335" i="21"/>
  <c r="B334" i="21"/>
  <c r="F334" i="21" s="1"/>
  <c r="K345" i="21"/>
  <c r="L345" i="21"/>
  <c r="J345" i="21"/>
  <c r="H347" i="21"/>
  <c r="I346" i="21"/>
  <c r="M346" i="21" s="1"/>
  <c r="H348" i="21" l="1"/>
  <c r="I347" i="21"/>
  <c r="M347" i="21" s="1"/>
  <c r="D334" i="21"/>
  <c r="C334" i="21"/>
  <c r="E334" i="21"/>
  <c r="A336" i="21"/>
  <c r="B335" i="21"/>
  <c r="F335" i="21" s="1"/>
  <c r="K346" i="21"/>
  <c r="L346" i="21"/>
  <c r="J346" i="21"/>
  <c r="A337" i="21" l="1"/>
  <c r="B336" i="21"/>
  <c r="F336" i="21" s="1"/>
  <c r="C335" i="21"/>
  <c r="D335" i="21"/>
  <c r="E335" i="21"/>
  <c r="L347" i="21"/>
  <c r="J347" i="21"/>
  <c r="K347" i="21"/>
  <c r="H349" i="21"/>
  <c r="I348" i="21"/>
  <c r="M348" i="21" s="1"/>
  <c r="H350" i="21" l="1"/>
  <c r="I349" i="21"/>
  <c r="M349" i="21" s="1"/>
  <c r="K348" i="21"/>
  <c r="L348" i="21"/>
  <c r="J348" i="21"/>
  <c r="D336" i="21"/>
  <c r="E336" i="21"/>
  <c r="C336" i="21"/>
  <c r="A338" i="21"/>
  <c r="B337" i="21"/>
  <c r="F337" i="21" s="1"/>
  <c r="C337" i="21" l="1"/>
  <c r="D337" i="21"/>
  <c r="E337" i="21"/>
  <c r="A339" i="21"/>
  <c r="B338" i="21"/>
  <c r="F338" i="21" s="1"/>
  <c r="K349" i="21"/>
  <c r="L349" i="21"/>
  <c r="J349" i="21"/>
  <c r="H351" i="21"/>
  <c r="I350" i="21"/>
  <c r="M350" i="21" s="1"/>
  <c r="D338" i="21" l="1"/>
  <c r="C338" i="21"/>
  <c r="E338" i="21"/>
  <c r="A340" i="21"/>
  <c r="B339" i="21"/>
  <c r="F339" i="21" s="1"/>
  <c r="L350" i="21"/>
  <c r="K350" i="21"/>
  <c r="J350" i="21"/>
  <c r="H352" i="21"/>
  <c r="I351" i="21"/>
  <c r="M351" i="21" s="1"/>
  <c r="C339" i="21" l="1"/>
  <c r="D339" i="21"/>
  <c r="E339" i="21"/>
  <c r="A341" i="21"/>
  <c r="B340" i="21"/>
  <c r="F340" i="21" s="1"/>
  <c r="L351" i="21"/>
  <c r="J351" i="21"/>
  <c r="K351" i="21"/>
  <c r="H353" i="21"/>
  <c r="I352" i="21"/>
  <c r="M352" i="21" s="1"/>
  <c r="D340" i="21" l="1"/>
  <c r="C340" i="21"/>
  <c r="E340" i="21"/>
  <c r="A342" i="21"/>
  <c r="B341" i="21"/>
  <c r="F341" i="21" s="1"/>
  <c r="J352" i="21"/>
  <c r="K352" i="21"/>
  <c r="L352" i="21"/>
  <c r="H354" i="21"/>
  <c r="I353" i="21"/>
  <c r="M353" i="21" s="1"/>
  <c r="C341" i="21" l="1"/>
  <c r="D341" i="21"/>
  <c r="E341" i="21"/>
  <c r="A343" i="21"/>
  <c r="B342" i="21"/>
  <c r="F342" i="21" s="1"/>
  <c r="K353" i="21"/>
  <c r="L353" i="21"/>
  <c r="J353" i="21"/>
  <c r="H355" i="21"/>
  <c r="I354" i="21"/>
  <c r="M354" i="21" s="1"/>
  <c r="D342" i="21" l="1"/>
  <c r="C342" i="21"/>
  <c r="E342" i="21"/>
  <c r="A344" i="21"/>
  <c r="B343" i="21"/>
  <c r="F343" i="21" s="1"/>
  <c r="K354" i="21"/>
  <c r="L354" i="21"/>
  <c r="J354" i="21"/>
  <c r="H356" i="21"/>
  <c r="I355" i="21"/>
  <c r="M355" i="21" s="1"/>
  <c r="C343" i="21" l="1"/>
  <c r="D343" i="21"/>
  <c r="E343" i="21"/>
  <c r="A345" i="21"/>
  <c r="B344" i="21"/>
  <c r="F344" i="21" s="1"/>
  <c r="K355" i="21"/>
  <c r="J355" i="21"/>
  <c r="L355" i="21"/>
  <c r="H357" i="21"/>
  <c r="I356" i="21"/>
  <c r="M356" i="21" s="1"/>
  <c r="D344" i="21" l="1"/>
  <c r="E344" i="21"/>
  <c r="C344" i="21"/>
  <c r="A346" i="21"/>
  <c r="B345" i="21"/>
  <c r="F345" i="21" s="1"/>
  <c r="K356" i="21"/>
  <c r="J356" i="21"/>
  <c r="L356" i="21"/>
  <c r="H358" i="21"/>
  <c r="I357" i="21"/>
  <c r="M357" i="21" s="1"/>
  <c r="C345" i="21" l="1"/>
  <c r="D345" i="21"/>
  <c r="E345" i="21"/>
  <c r="A347" i="21"/>
  <c r="B346" i="21"/>
  <c r="F346" i="21" s="1"/>
  <c r="K357" i="21"/>
  <c r="L357" i="21"/>
  <c r="J357" i="21"/>
  <c r="H359" i="21"/>
  <c r="I358" i="21"/>
  <c r="M358" i="21" s="1"/>
  <c r="D346" i="21" l="1"/>
  <c r="C346" i="21"/>
  <c r="E346" i="21"/>
  <c r="B347" i="21"/>
  <c r="F347" i="21" s="1"/>
  <c r="A348" i="21"/>
  <c r="L358" i="21"/>
  <c r="K358" i="21"/>
  <c r="J358" i="21"/>
  <c r="H360" i="21"/>
  <c r="I359" i="21"/>
  <c r="M359" i="21" s="1"/>
  <c r="B348" i="21" l="1"/>
  <c r="F348" i="21" s="1"/>
  <c r="A349" i="21"/>
  <c r="C347" i="21"/>
  <c r="D347" i="21"/>
  <c r="E347" i="21"/>
  <c r="L359" i="21"/>
  <c r="K359" i="21"/>
  <c r="J359" i="21"/>
  <c r="H361" i="21"/>
  <c r="I360" i="21"/>
  <c r="M360" i="21" s="1"/>
  <c r="J360" i="21" l="1"/>
  <c r="K360" i="21"/>
  <c r="L360" i="21"/>
  <c r="H362" i="21"/>
  <c r="I361" i="21"/>
  <c r="M361" i="21" s="1"/>
  <c r="A350" i="21"/>
  <c r="B349" i="21"/>
  <c r="F349" i="21" s="1"/>
  <c r="D348" i="21"/>
  <c r="C348" i="21"/>
  <c r="E348" i="21"/>
  <c r="K361" i="21" l="1"/>
  <c r="J361" i="21"/>
  <c r="L361" i="21"/>
  <c r="C349" i="21"/>
  <c r="D349" i="21"/>
  <c r="E349" i="21"/>
  <c r="A351" i="21"/>
  <c r="B350" i="21"/>
  <c r="F350" i="21" s="1"/>
  <c r="H363" i="21"/>
  <c r="I362" i="21"/>
  <c r="M362" i="21" s="1"/>
  <c r="K362" i="21" l="1"/>
  <c r="L362" i="21"/>
  <c r="J362" i="21"/>
  <c r="H364" i="21"/>
  <c r="I363" i="21"/>
  <c r="M363" i="21" s="1"/>
  <c r="D350" i="21"/>
  <c r="C350" i="21"/>
  <c r="E350" i="21"/>
  <c r="A352" i="21"/>
  <c r="B351" i="21"/>
  <c r="F351" i="21" s="1"/>
  <c r="J363" i="21" l="1"/>
  <c r="K363" i="21"/>
  <c r="L363" i="21"/>
  <c r="H365" i="21"/>
  <c r="I364" i="21"/>
  <c r="M364" i="21" s="1"/>
  <c r="C351" i="21"/>
  <c r="D351" i="21"/>
  <c r="E351" i="21"/>
  <c r="A353" i="21"/>
  <c r="B352" i="21"/>
  <c r="F352" i="21" s="1"/>
  <c r="J364" i="21" l="1"/>
  <c r="K364" i="21"/>
  <c r="L364" i="21"/>
  <c r="H366" i="21"/>
  <c r="I365" i="21"/>
  <c r="M365" i="21" s="1"/>
  <c r="D352" i="21"/>
  <c r="E352" i="21"/>
  <c r="C352" i="21"/>
  <c r="A354" i="21"/>
  <c r="B353" i="21"/>
  <c r="F353" i="21" s="1"/>
  <c r="K365" i="21" l="1"/>
  <c r="L365" i="21"/>
  <c r="J365" i="21"/>
  <c r="H367" i="21"/>
  <c r="I366" i="21"/>
  <c r="M366" i="21" s="1"/>
  <c r="C353" i="21"/>
  <c r="D353" i="21"/>
  <c r="E353" i="21"/>
  <c r="A355" i="21"/>
  <c r="B354" i="21"/>
  <c r="F354" i="21" s="1"/>
  <c r="L366" i="21" l="1"/>
  <c r="K366" i="21"/>
  <c r="J366" i="21"/>
  <c r="H368" i="21"/>
  <c r="I368" i="21" s="1"/>
  <c r="M368" i="21" s="1"/>
  <c r="I367" i="21"/>
  <c r="M367" i="21" s="1"/>
  <c r="D354" i="21"/>
  <c r="C354" i="21"/>
  <c r="E354" i="21"/>
  <c r="A356" i="21"/>
  <c r="B355" i="21"/>
  <c r="F355" i="21" s="1"/>
  <c r="K367" i="21" l="1"/>
  <c r="J367" i="21"/>
  <c r="L367" i="21"/>
  <c r="J368" i="21"/>
  <c r="K368" i="21"/>
  <c r="L368" i="21"/>
  <c r="C355" i="21"/>
  <c r="D355" i="21"/>
  <c r="E355" i="21"/>
  <c r="A357" i="21"/>
  <c r="B356" i="21"/>
  <c r="F356" i="21" s="1"/>
  <c r="D356" i="21" l="1"/>
  <c r="C356" i="21"/>
  <c r="E356" i="21"/>
  <c r="A358" i="21"/>
  <c r="B357" i="21"/>
  <c r="F357" i="21" s="1"/>
  <c r="C357" i="21" l="1"/>
  <c r="D357" i="21"/>
  <c r="E357" i="21"/>
  <c r="A359" i="21"/>
  <c r="B358" i="21"/>
  <c r="F358" i="21" s="1"/>
  <c r="D358" i="21" l="1"/>
  <c r="C358" i="21"/>
  <c r="E358" i="21"/>
  <c r="A360" i="21"/>
  <c r="B359" i="21"/>
  <c r="F359" i="21" s="1"/>
  <c r="C359" i="21" l="1"/>
  <c r="D359" i="21"/>
  <c r="E359" i="21"/>
  <c r="B360" i="21"/>
  <c r="F360" i="21" s="1"/>
  <c r="A361" i="21"/>
  <c r="A362" i="21" l="1"/>
  <c r="B361" i="21"/>
  <c r="F361" i="21" s="1"/>
  <c r="D360" i="21"/>
  <c r="E360" i="21"/>
  <c r="C360" i="21"/>
  <c r="C361" i="21" l="1"/>
  <c r="D361" i="21"/>
  <c r="E361" i="21"/>
  <c r="A363" i="21"/>
  <c r="B362" i="21"/>
  <c r="F362" i="21" s="1"/>
  <c r="D362" i="21" l="1"/>
  <c r="C362" i="21"/>
  <c r="E362" i="21"/>
  <c r="A364" i="21"/>
  <c r="B363" i="21"/>
  <c r="F363" i="21" s="1"/>
  <c r="C363" i="21" l="1"/>
  <c r="D363" i="21"/>
  <c r="E363" i="21"/>
  <c r="A365" i="21"/>
  <c r="B364" i="21"/>
  <c r="F364" i="21" s="1"/>
  <c r="D364" i="21" l="1"/>
  <c r="C364" i="21"/>
  <c r="E364" i="21"/>
  <c r="A366" i="21"/>
  <c r="B365" i="21"/>
  <c r="F365" i="21" s="1"/>
  <c r="C365" i="21" l="1"/>
  <c r="D365" i="21"/>
  <c r="E365" i="21"/>
  <c r="A367" i="21"/>
  <c r="B366" i="21"/>
  <c r="F366" i="21" s="1"/>
  <c r="D366" i="21" l="1"/>
  <c r="C366" i="21"/>
  <c r="E366" i="21"/>
  <c r="A368" i="21"/>
  <c r="B368" i="21" s="1"/>
  <c r="F368" i="21" s="1"/>
  <c r="B367" i="21"/>
  <c r="F367" i="21" s="1"/>
  <c r="C367" i="21" l="1"/>
  <c r="D367" i="21"/>
  <c r="E367" i="21"/>
  <c r="D368" i="21"/>
  <c r="E368" i="21"/>
  <c r="C36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tc={4A0CC0DA-6623-4115-B60A-38E5EC6CE394}</author>
  </authors>
  <commentList>
    <comment ref="C11" authorId="0" shapeId="0" xr:uid="{A15F862D-944E-4E3B-B2ED-F4101CBC2539}">
      <text>
        <r>
          <rPr>
            <sz val="10"/>
            <color rgb="FF000000"/>
            <rFont val="Aptos Narrow"/>
            <family val="2"/>
            <scheme val="minor"/>
          </rPr>
          <t>Open ended, all countries where employees work
	-Nichole Arbino
Stays in GNRL
	-Nichole Arbino</t>
        </r>
      </text>
    </comment>
    <comment ref="C49" authorId="1" shapeId="0" xr:uid="{4A0CC0DA-6623-4115-B60A-38E5EC6CE394}">
      <text>
        <t>[Threaded comment]
Your version of Excel allows you to read this threaded comment; however, any edits to it will get removed if the file is opened in a newer version of Excel. Learn more: https://go.microsoft.com/fwlink/?linkid=870924
Comment:
    This question will be reworded with a preferred answer of no. That is reflected in column T, but the new verbiage should come Monday.</t>
      </text>
    </comment>
  </commentList>
</comments>
</file>

<file path=xl/sharedStrings.xml><?xml version="1.0" encoding="utf-8"?>
<sst xmlns="http://schemas.openxmlformats.org/spreadsheetml/2006/main" count="6431" uniqueCount="1830">
  <si>
    <t>New ID</t>
  </si>
  <si>
    <t>Question</t>
  </si>
  <si>
    <t>Start</t>
  </si>
  <si>
    <t>Org</t>
  </si>
  <si>
    <t>Product</t>
  </si>
  <si>
    <t>Infra</t>
  </si>
  <si>
    <t>Access</t>
  </si>
  <si>
    <t>Case</t>
  </si>
  <si>
    <t>AI</t>
  </si>
  <si>
    <t>Privacy</t>
  </si>
  <si>
    <t>Score Mapping</t>
  </si>
  <si>
    <t>Score Location</t>
  </si>
  <si>
    <t>Additional Info</t>
  </si>
  <si>
    <t>If/then</t>
  </si>
  <si>
    <t>Standard Guidance</t>
  </si>
  <si>
    <t>No Guidance</t>
  </si>
  <si>
    <t>Yes Guidance</t>
  </si>
  <si>
    <t>Reason for Question</t>
  </si>
  <si>
    <t>Compliant</t>
  </si>
  <si>
    <t>Default Importance</t>
  </si>
  <si>
    <t>Default Weight</t>
  </si>
  <si>
    <t>GNRL-01</t>
  </si>
  <si>
    <t>NA</t>
  </si>
  <si>
    <t>Not Scored</t>
  </si>
  <si>
    <t>GNRL-02</t>
  </si>
  <si>
    <t>GNRL-03</t>
  </si>
  <si>
    <t>GNRL-04</t>
  </si>
  <si>
    <t>GNRL-05</t>
  </si>
  <si>
    <t>GNRL-06</t>
  </si>
  <si>
    <t>GNRL-07</t>
  </si>
  <si>
    <t>GNRL-08</t>
  </si>
  <si>
    <t>Country of Company Headquarters</t>
  </si>
  <si>
    <t>GNRL-09</t>
  </si>
  <si>
    <t>Employee Work Locations (all)</t>
  </si>
  <si>
    <t>Follow-up inquiries will be institution/implementation specific.</t>
  </si>
  <si>
    <t>COMP-01</t>
  </si>
  <si>
    <t>Describe your organization’s business background and ownership structure, including all parent and subsidiary relationships.</t>
  </si>
  <si>
    <t>Neutral until evaluated</t>
  </si>
  <si>
    <t>Start Here</t>
  </si>
  <si>
    <t>Include circumstances that may involve offshoring or multinational agreements.</t>
  </si>
  <si>
    <t>Yes</t>
  </si>
  <si>
    <t>Minor Importance</t>
  </si>
  <si>
    <t>COMP-02</t>
  </si>
  <si>
    <t>Provide a detailed summary of the unplanned disruption.</t>
  </si>
  <si>
    <t>COMP-03</t>
  </si>
  <si>
    <t>COMP-04</t>
  </si>
  <si>
    <t>Critical Importance</t>
  </si>
  <si>
    <t>COMP-05</t>
  </si>
  <si>
    <t>REQU-01</t>
  </si>
  <si>
    <t>DO NOT complete the Product and Infrastructure worksheets</t>
  </si>
  <si>
    <t>DO complete the Product and Infrastructure worksheets</t>
  </si>
  <si>
    <t>REQU-02</t>
  </si>
  <si>
    <t>DO NOT complete the IT Accessibility worksheet.</t>
  </si>
  <si>
    <t>DO complete the IT Accessibility worksheet.</t>
  </si>
  <si>
    <t>REQU-03</t>
  </si>
  <si>
    <t>Are you providing consulting services?</t>
  </si>
  <si>
    <t>DO NOT complete the Consulting section in the Case-Specific worksheet</t>
  </si>
  <si>
    <t>DO complete the Consulting section in the Case-Specific worksheet</t>
  </si>
  <si>
    <t>REQU-04</t>
  </si>
  <si>
    <t>DO NOT complete the Artificial Intelligence (AI) worksheet</t>
  </si>
  <si>
    <t>DO complete the Artificial Intelligence (AI) worksheet</t>
  </si>
  <si>
    <t>REQU-05</t>
  </si>
  <si>
    <t>DO NOT complete the HIPAA section in the Case-Specific worksheet</t>
  </si>
  <si>
    <t>DO complete the HIPAA section in the Case-Specific worksheet</t>
  </si>
  <si>
    <t>REQU-06</t>
  </si>
  <si>
    <t>DO NOT complete the PCI-DSS section in the Case-Specific worksheet</t>
  </si>
  <si>
    <t>DO complete the PCI-DSS section in the Case-Specific worksheet</t>
  </si>
  <si>
    <t>REQU-07</t>
  </si>
  <si>
    <t>DO NOT complete the On-Prem section in the Case-Specific worksheet</t>
  </si>
  <si>
    <t>DO complete the On-Prem section in the Case-Specific worksheet</t>
  </si>
  <si>
    <t>DOCU-01</t>
  </si>
  <si>
    <t>Have you undergone a SSAE 18/SOC 2 audit?</t>
  </si>
  <si>
    <t>Additional Information</t>
  </si>
  <si>
    <t>Describe any plans to undergo a SSAE 18 audit.</t>
  </si>
  <si>
    <t>Follow-up inquiries for SSAE 18 content will be institution/implementation specific.</t>
  </si>
  <si>
    <t>Standard Importance</t>
  </si>
  <si>
    <t>DOCU-02</t>
  </si>
  <si>
    <t>DOCU-03</t>
  </si>
  <si>
    <t>Describe any plans to conform to an industry standard security framework.</t>
  </si>
  <si>
    <t>Provide documentation on how your organization conforms to your chosen framework and indicate current certification levels, where appropriate.</t>
  </si>
  <si>
    <t>DOCU-04</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</si>
  <si>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</si>
  <si>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</si>
  <si>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</si>
  <si>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DOCU-05</t>
  </si>
  <si>
    <t>Does your organization have a data privacy policy?</t>
  </si>
  <si>
    <t>Describe your plans to create a data privacy policy.</t>
  </si>
  <si>
    <t>Provide your data privacy document (or a valid link to it) upon submission.</t>
  </si>
  <si>
    <t>DOCU-06</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</si>
  <si>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</si>
  <si>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</si>
  <si>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 populated HECVAT.</t>
  </si>
  <si>
    <t>DOCU-07</t>
  </si>
  <si>
    <t>ITAC-01</t>
  </si>
  <si>
    <t>ITAC-02</t>
  </si>
  <si>
    <t>ITAC-03</t>
  </si>
  <si>
    <t>ITAC-04</t>
  </si>
  <si>
    <t>ITAC-05</t>
  </si>
  <si>
    <t>IT Accessibility</t>
  </si>
  <si>
    <t>Please state your plans (when and by whom) to complete a VPAT.</t>
  </si>
  <si>
    <t>State the date the VPAT was completed. Include this VPAT in your submission and/or link to its web location.</t>
  </si>
  <si>
    <t>ITAC-06</t>
  </si>
  <si>
    <t>Web Link to Accessibility Statement or VPAT</t>
  </si>
  <si>
    <t>ITAC-07</t>
  </si>
  <si>
    <t>Provide plans for any documentation that would make accessible content, features, and functions easily knowable by end users.</t>
  </si>
  <si>
    <t>Provide examples with links where possible.</t>
  </si>
  <si>
    <t>ITAC-08</t>
  </si>
  <si>
    <t>State when the audit was conducted and by whom. Include the results in your submission and/or link to its web location.</t>
  </si>
  <si>
    <t>ITAC-09</t>
  </si>
  <si>
    <t>Do you have a documented and implemented process for verifying accessibility conformance?</t>
  </si>
  <si>
    <t>Describe your processes and methodologies for validating accessibility conformance.</t>
  </si>
  <si>
    <t>ITAC-10</t>
  </si>
  <si>
    <t>ITAC-11</t>
  </si>
  <si>
    <t>ITAC-12</t>
  </si>
  <si>
    <t>ITAC-13</t>
  </si>
  <si>
    <t>Can you provide a current, detailed accessibility roadmap with delivery timelines?</t>
  </si>
  <si>
    <t>ITAC-14</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</si>
  <si>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</si>
  <si>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</si>
  <si>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</si>
  <si>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ITAC-15</t>
  </si>
  <si>
    <t>State how users should report accessibility issues. Describe any expected related process updates.</t>
  </si>
  <si>
    <t>Describe the process and any recent examples of fixes as a result of the process.</t>
  </si>
  <si>
    <t>ITAC-16</t>
  </si>
  <si>
    <t>Do you have documented processes and procedures for implementing accessibility into your development lifecycle?</t>
  </si>
  <si>
    <t>Describe any plans to update processes and procedures to better incorporate accessibility.</t>
  </si>
  <si>
    <t>ITAC-17</t>
  </si>
  <si>
    <t>Can all functions of the application or service be performed using only the keyboard?</t>
  </si>
  <si>
    <t>State when and on which platform this was verified.</t>
  </si>
  <si>
    <t>ITAC-18</t>
  </si>
  <si>
    <t>THRD-01</t>
  </si>
  <si>
    <t>Organization</t>
  </si>
  <si>
    <t>State your plans to perform security assessments of third-party companies.</t>
  </si>
  <si>
    <t>Provide a summary of your practices that assures that the third party will be subject to the appropriate standards regarding security, service recoverability, and confidentiality.</t>
  </si>
  <si>
    <t>THRD-02</t>
  </si>
  <si>
    <t>The sharing of institutional data to fourth-parties may increase the risk to the institutation and thus, we want to know who gets what data, when they get that data, and why they get that data.</t>
  </si>
  <si>
    <t>Follow-up inquiries concerning third-party data sharing will be institution/implementation specific.</t>
  </si>
  <si>
    <t>THRD-03</t>
  </si>
  <si>
    <t>THRD-04</t>
  </si>
  <si>
    <t>State your plans to implement a third-party management strategy.</t>
  </si>
  <si>
    <t>Provide additional information that may help analysts better understand your environment and how it relates to third-party solutions.</t>
  </si>
  <si>
    <t>THRD-05</t>
  </si>
  <si>
    <t>Make sure you address any national or regional regulations.</t>
  </si>
  <si>
    <t>State your plans to create a process and implemented procedures for managing your hardware supply chain.</t>
  </si>
  <si>
    <t>State what countries and/or regions this process is compliant with.</t>
  </si>
  <si>
    <t>Follow-up inquiries concerning hardware supply chain will be institution/implementation specific.</t>
  </si>
  <si>
    <t>CONS-01</t>
  </si>
  <si>
    <t>Will the consulting take place on-premises?</t>
  </si>
  <si>
    <t>Case-Specific</t>
  </si>
  <si>
    <t>No</t>
  </si>
  <si>
    <t>CONS-02</t>
  </si>
  <si>
    <t>CONS-03</t>
  </si>
  <si>
    <t>Will the consultant require access to hardware in the institution's data centers?</t>
  </si>
  <si>
    <t>CONS-04</t>
  </si>
  <si>
    <t>Will the consultant require an account within the institution's domain (@*.edu)?</t>
  </si>
  <si>
    <t>CONS-05</t>
  </si>
  <si>
    <t>CONS-06</t>
  </si>
  <si>
    <t>Will any data be transferred to the consultant's possession?</t>
  </si>
  <si>
    <t>No need to answer CONS-07</t>
  </si>
  <si>
    <t>CONS-07</t>
  </si>
  <si>
    <t>CONS-08</t>
  </si>
  <si>
    <t>Will the consultant need remote access to the institution's network or systems?</t>
  </si>
  <si>
    <t>No need to answer CONS-09</t>
  </si>
  <si>
    <t>CONS-09</t>
  </si>
  <si>
    <t>APPL-01</t>
  </si>
  <si>
    <t>Infrastructure</t>
  </si>
  <si>
    <t>This includes end users, administrators, service accounts, etc. PBAC would include various dynamic controls such as conditional access, risk-based access, location-based access, or system activity–based access.</t>
  </si>
  <si>
    <t>Describe any limitations that prevent support for RBAC for Institutional accounts.</t>
  </si>
  <si>
    <t>Describe available roles.</t>
  </si>
  <si>
    <t>APPL-02</t>
  </si>
  <si>
    <t>Are access controls for staff within your organization based on structured rules, such as RBAC, ABAC, or PBAC?</t>
  </si>
  <si>
    <t>This includes system administrators and third-party personnel with access to the system. PBAC would include various dynamic controls such as conditional access, risk-based access, location-based access, or system activity–based access.</t>
  </si>
  <si>
    <t>Describe any limitations that prevent support for RBAC within your organization.</t>
  </si>
  <si>
    <t>APPL-03</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</si>
  <si>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</si>
  <si>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</si>
  <si>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</si>
  <si>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</si>
  <si>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APPL-04</t>
  </si>
  <si>
    <t>Describe compensating controls that protect your web application, if applicable.</t>
  </si>
  <si>
    <t>Describe the currently implemented WAF.</t>
  </si>
  <si>
    <t>APPL-05</t>
  </si>
  <si>
    <t>Do you have a process and implemented procedures for managing your software supply chain (e.g., libraries, repositories, frameworks, etc.)</t>
  </si>
  <si>
    <t>Include any in-house developed or contract development.</t>
  </si>
  <si>
    <t>Provide supporting documentation of your processes.</t>
  </si>
  <si>
    <t>Follow-up inquiries concerning software supply chain will be institution/implementation specific.</t>
  </si>
  <si>
    <t>APPL-06</t>
  </si>
  <si>
    <t>If the web application only works with a subset of modern supported browsers, please indicate that here.</t>
  </si>
  <si>
    <t>State your plan to migrate to supported operating systems, libraries, and software.</t>
  </si>
  <si>
    <t>Please provide a list of all required dependencies.</t>
  </si>
  <si>
    <t>APPL-07</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</si>
  <si>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</si>
  <si>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</si>
  <si>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</si>
  <si>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</si>
  <si>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</si>
  <si>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APPL-08</t>
  </si>
  <si>
    <t>Does your application require access to location or GPS data?</t>
  </si>
  <si>
    <t>Please indicate any future plans that would require access to this data</t>
  </si>
  <si>
    <t>Please describe the reasons why in detail and state if that access can be limited to while your app is running.</t>
  </si>
  <si>
    <t>Sharing location data significantly increases risk factors for users. It's important to understand if this is required.</t>
  </si>
  <si>
    <t>APPL-09</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</si>
  <si>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</si>
  <si>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</si>
  <si>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APPL-10</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</si>
  <si>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</si>
  <si>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</si>
  <si>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Describe or provide a reference that details how administrator access is handled (e.g., provisioning, principle of least privilege, deprovisioning, etc.).</t>
  </si>
  <si>
    <t>APPL-11</t>
  </si>
  <si>
    <t>Have your developers been trained in secure coding techniques?</t>
  </si>
  <si>
    <t>State plans to implement a training program on industry standard secure coding practices.</t>
  </si>
  <si>
    <t>Summarize your secure coding training.</t>
  </si>
  <si>
    <t>APPL-12</t>
  </si>
  <si>
    <t>Was your application developed using secure coding techniques?</t>
  </si>
  <si>
    <t>State plans to update your application to adhere to industry secure coding practices.</t>
  </si>
  <si>
    <t>Summarize your secure coding practices.</t>
  </si>
  <si>
    <t>APPL-13</t>
  </si>
  <si>
    <t>State your plans to implement static code testing practices into your environment.</t>
  </si>
  <si>
    <t>Provide a list of all tools utilized during static code analysis or static application security testing.</t>
  </si>
  <si>
    <t>APPL-14</t>
  </si>
  <si>
    <t>State your plans to implement software testing processes into your environment.</t>
  </si>
  <si>
    <t>Describe testing processes, including but not limited to, development of test plans, personnel involved in the testing process, and authorized individual accountable for approval and certification of test results.</t>
  </si>
  <si>
    <t>AAAI-01</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</si>
  <si>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</si>
  <si>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</si>
  <si>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</si>
  <si>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</si>
  <si>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AAAI-02</t>
  </si>
  <si>
    <t>Describe any plans to support local authentication modes.</t>
  </si>
  <si>
    <t>Provide a detailed description of your local authentication mode practices.</t>
  </si>
  <si>
    <t>The content of this response may or may not have value for the type of use case on the institution. Follow-up inquiries for authentication modes will be institution/implementation specific.</t>
  </si>
  <si>
    <t>AAAI-03</t>
  </si>
  <si>
    <t>AAAI-04</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</si>
  <si>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</si>
  <si>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</si>
  <si>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</si>
  <si>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AAAI-05</t>
  </si>
  <si>
    <t>Describe these limitations and/or restrictions and state what lengths and complexities are supported.</t>
  </si>
  <si>
    <t>Follow-up inquiries for password/passphrase limitations and/or restrictions will be institution/implementation specific.</t>
  </si>
  <si>
    <t>AAAI-06</t>
  </si>
  <si>
    <t>Describe your plans to document system password/passphrase reset procedures.</t>
  </si>
  <si>
    <t>Describe your documented password/passphrase reset procedures that are currently implemented in the system and/or customer support.</t>
  </si>
  <si>
    <t>AAAI-07</t>
  </si>
  <si>
    <t>Describe plans to participate in InCommon or another eduGAIN-affiliated trust federation.</t>
  </si>
  <si>
    <t>List the entity IDs registered in the Additional Information column.</t>
  </si>
  <si>
    <t>AAAI-08</t>
  </si>
  <si>
    <t>Describe any plans to support integration with other authentication and authorization systems.</t>
  </si>
  <si>
    <t>List which systems and versions supported (such as Active Directory, Kerberos, or other LDAP compatible directory) in Additional Info.</t>
  </si>
  <si>
    <t>AAAI-09</t>
  </si>
  <si>
    <t>Describe plans to support web SSO in your solution.</t>
  </si>
  <si>
    <t>State the web SSO standards supported by your solution and provide additional details about your support, including framework(s) in use, how information is exchanged securely, etc.</t>
  </si>
  <si>
    <t>AAAI-10</t>
  </si>
  <si>
    <t>Do you support differentiation between email address and user identifier?</t>
  </si>
  <si>
    <t>Describe any plans to support differentiation between email address and user identifier.</t>
  </si>
  <si>
    <t>Follow-up inquiries for identifier requirements will be institution/implementation specific.</t>
  </si>
  <si>
    <t>AAAI-11</t>
  </si>
  <si>
    <t>Do you allow the customer to specify attribute mappings for any needed information beyond a user identifier? (e.g., Reference eduPerson, ePPA/ePPN/ePE)</t>
  </si>
  <si>
    <t>Describe plans to allow customers to specify attribute mappings.</t>
  </si>
  <si>
    <t>Follow-up inquiries for attribute mapping requirements will be institution/implementation specific.</t>
  </si>
  <si>
    <t>AAAI-12</t>
  </si>
  <si>
    <t>2FA/MFA, implemented correctly, strengthens the security state of a system. 2FA/MFA is commonly implemented and in many use cases is a requirement for account protection purposes.</t>
  </si>
  <si>
    <t>AAAI-13</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</si>
  <si>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</si>
  <si>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</si>
  <si>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</si>
  <si>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</si>
  <si>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AAAI-14</t>
  </si>
  <si>
    <t>AAAI-15</t>
  </si>
  <si>
    <t>Provide a detailed description stating why account passwords/passphrases are not encrypted in storage.</t>
  </si>
  <si>
    <t>The focus of this question is confidentiality. It is a straightforward question confirming the encryption of user authentication details.</t>
  </si>
  <si>
    <t>Follow-up inquiries for password/passphrase encrypted storage will be institution/implementation specific.</t>
  </si>
  <si>
    <t>AAAI-16</t>
  </si>
  <si>
    <t>Describe any plans to support external authentication services in place of local authentication.</t>
  </si>
  <si>
    <t>Describe all authentication services supported by the system.</t>
  </si>
  <si>
    <t>AAAI-17</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</si>
  <si>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</si>
  <si>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</si>
  <si>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AAAI-18</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</si>
  <si>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t>
  </si>
  <si>
    <t>Follow-up inquiries for logging details will be institution/implementation specific.</t>
  </si>
  <si>
    <t>CHNG-01</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</si>
  <si>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</si>
  <si>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</si>
  <si>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</si>
  <si>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</si>
  <si>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CHNG-02</t>
  </si>
  <si>
    <t>CHNG-03</t>
  </si>
  <si>
    <t>Please describe any plans to implement third-party library dependancy tracking.</t>
  </si>
  <si>
    <t>Please describe your program to track these dependancies.</t>
  </si>
  <si>
    <t>CHNG-04</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</si>
  <si>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</si>
  <si>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</si>
  <si>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</si>
  <si>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CHNG-05</t>
  </si>
  <si>
    <t>Do clients have the option to not participate in or postpone an upgrade to a new release?</t>
  </si>
  <si>
    <t>Summarize why clients do not have alternative release options.</t>
  </si>
  <si>
    <t>Provide reference the the process/procedure to manage releases.</t>
  </si>
  <si>
    <t>CHNG-06</t>
  </si>
  <si>
    <t>Do you have a fully implemented solution support strategy that defines how many concurrent versions you support?</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</si>
  <si>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</si>
  <si>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</si>
  <si>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CHNG-07</t>
  </si>
  <si>
    <t>Ensure that all relevant details pertaining to CHNG-06 are clearly stated in your response.</t>
  </si>
  <si>
    <t>Clarify the lack of support strategy for client customizations from one release to another.</t>
  </si>
  <si>
    <t>Describe or provide reference to your solution support strategy in regard to maintaining client customizations from one release to another.</t>
  </si>
  <si>
    <t>CHNG-08</t>
  </si>
  <si>
    <t>Do you have a release schedule for product updates?</t>
  </si>
  <si>
    <t>State any plans to release a schedule of product updates.</t>
  </si>
  <si>
    <t>CHNG-09</t>
  </si>
  <si>
    <t>State any plans to release a technology roadmap covering the next two years.</t>
  </si>
  <si>
    <t>Provide a reference to your technology roadmap.</t>
  </si>
  <si>
    <t>CHNG-10</t>
  </si>
  <si>
    <t>Vague responses to this question should be investigated further. Ask for additional documentation for customer responsibilities (in the context of information technology/security).</t>
  </si>
  <si>
    <t>CHNG-11</t>
  </si>
  <si>
    <t>Do you have policy and procedure, currently implemented, managing how critical patches are applied to all systems and applications?</t>
  </si>
  <si>
    <t>State your plans to implement policy and procedure(s) to manage how critical patches are applied to systems and applications.</t>
  </si>
  <si>
    <t>Summarize the policy and procedure(s) managing how critical patches are applied to systems and applications.</t>
  </si>
  <si>
    <t>CHNG-12</t>
  </si>
  <si>
    <t>State your plans to implement policy and procedure(s) guiding risk mitigation practices before critical patches can be applied.</t>
  </si>
  <si>
    <t>Summarize the policy and procedure(s) guiding risk mitigation practices before critical patches can be applied.</t>
  </si>
  <si>
    <t>CHNG-13</t>
  </si>
  <si>
    <t>Are upgrades or system changes installed during off-peak hours or in a manner that does not impact the customer?</t>
  </si>
  <si>
    <t>Decribe plans to minimize the impact of downtime based on predefined off-peak hours.</t>
  </si>
  <si>
    <t>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</si>
  <si>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</si>
  <si>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CHNG-14</t>
  </si>
  <si>
    <t>Do procedures exist to provide that emergency changes are documented and authorized (including after-the-fact approval)?</t>
  </si>
  <si>
    <t>Describe plans to implement procedure ensuring that emergency changes are documented and authorized.</t>
  </si>
  <si>
    <t>Summarize implemented procedures ensuring that emergency changes are documented and authorized.</t>
  </si>
  <si>
    <t>CHNG-15</t>
  </si>
  <si>
    <t>Describe how system configuration management is currently handled in your environment.</t>
  </si>
  <si>
    <t>Summarize your implemented system configuration management precess.</t>
  </si>
  <si>
    <t>CHNG-16</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</si>
  <si>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</si>
  <si>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</si>
  <si>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</si>
  <si>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DATA-01</t>
  </si>
  <si>
    <t>Describe your plan to separate institution data from that of other customers.</t>
  </si>
  <si>
    <t>Describe or provide a reference to how institution data is separated from that of other customers.</t>
  </si>
  <si>
    <t>Follow-up inquiries for dedicated single-tenant capabilities will be institution/implementation specific.</t>
  </si>
  <si>
    <t>DATA-02</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</si>
  <si>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</si>
  <si>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</si>
  <si>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DATA-03</t>
  </si>
  <si>
    <t>Describe why sensitive data is not encrypted in transport.</t>
  </si>
  <si>
    <t>Summarize your transport encryption strategy.</t>
  </si>
  <si>
    <t>Follow-up inquiries for data encryption between the system and end-users will be institution/implementation specific.</t>
  </si>
  <si>
    <t>DATA-04</t>
  </si>
  <si>
    <t>Describe why sensitive data is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</si>
  <si>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</si>
  <si>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</si>
  <si>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</si>
  <si>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DATA-05</t>
  </si>
  <si>
    <t>Provide a detailed description of all non-conforming modules.</t>
  </si>
  <si>
    <t>Provide reference to FIPS 140-3 validation certificates.</t>
  </si>
  <si>
    <t>DATA-06</t>
  </si>
  <si>
    <t>State the length of time that the institution's data will be available in the system at the completion of the contract.</t>
  </si>
  <si>
    <t>DATA-07</t>
  </si>
  <si>
    <t>Describe your data export procedures conducted at the termination of contract.</t>
  </si>
  <si>
    <t>DATA-08</t>
  </si>
  <si>
    <t>Can the institution extract a full or partial backup of data?</t>
  </si>
  <si>
    <t>State plans to implement capabilities for the institution to extract a full or partial backup of data.</t>
  </si>
  <si>
    <t>Provide a general summary of how full and partial backups of data can be extracted.</t>
  </si>
  <si>
    <t>DATA-09</t>
  </si>
  <si>
    <t>Are ownership rights to all data, inputs, outputs, and metadata retained by the institution?</t>
  </si>
  <si>
    <t>Describe in detail why ownership rights are not retained by the institution.</t>
  </si>
  <si>
    <t>Provide reference to your data ownership documention.</t>
  </si>
  <si>
    <t>DATA-10</t>
  </si>
  <si>
    <t>Provide a detailed description why rights are not retained.</t>
  </si>
  <si>
    <t>Provide references, as needed.</t>
  </si>
  <si>
    <t>This question clarifies the position of the institution in the case of acquisition or bankruptcy. Expect clear responses to this question. If they are vague, be sure to follow up based on institutional counsel guidance.</t>
  </si>
  <si>
    <t>DATA-11</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</si>
  <si>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</si>
  <si>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</si>
  <si>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</si>
  <si>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DATA-12</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</si>
  <si>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</si>
  <si>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</si>
  <si>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</si>
  <si>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</si>
  <si>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</si>
  <si>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DATA-13</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</si>
  <si>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</si>
  <si>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</si>
  <si>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</si>
  <si>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Follow-up inquiries for backup content scope will be institution/implementation specific.</t>
  </si>
  <si>
    <t>DATA-14</t>
  </si>
  <si>
    <t>DATA-15</t>
  </si>
  <si>
    <t>When data is moved physically (e.g.,HDD, print, etc.) off-site, the policies and implemented procedures are important to know. Unencrypted data taken outside secured areas introduces unnecessary risks.</t>
  </si>
  <si>
    <t>DATA-16</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</si>
  <si>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</si>
  <si>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</si>
  <si>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</si>
  <si>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DATA-17</t>
  </si>
  <si>
    <t>Are data backups encrypted?</t>
  </si>
  <si>
    <t>Summarize why backups are not encrypted.</t>
  </si>
  <si>
    <t>Summarize the encryption algorithm/strategy you are using to secure backups.</t>
  </si>
  <si>
    <t>The need for encryption at 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</si>
  <si>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</si>
  <si>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DATA-18</t>
  </si>
  <si>
    <t>Summarize your cryptographic key management process.</t>
  </si>
  <si>
    <t>DATA-19</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</si>
  <si>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</si>
  <si>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</si>
  <si>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</si>
  <si>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</si>
  <si>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DATA-20</t>
  </si>
  <si>
    <t>State plans to adhere to DoD 5220.22-M and/or NIST SP 800-88 standards.</t>
  </si>
  <si>
    <t>Follow-up inquiries for DoD 5220.22-M and/or SP800-88 standards will be institution specific.</t>
  </si>
  <si>
    <t>DATA-21</t>
  </si>
  <si>
    <t>State plans to store long-term media in environmentally protected areas.</t>
  </si>
  <si>
    <t>Provide a general summary of your archival environment.</t>
  </si>
  <si>
    <t>DATA-22</t>
  </si>
  <si>
    <t>State plans to handle data in a FERPA-compliant manner.</t>
  </si>
  <si>
    <t>Describe how FERPA compliance is integrated into your process and procedures.</t>
  </si>
  <si>
    <t>Follow-up inquiries for FERPA compliance details will be institution/implementation specific.</t>
  </si>
  <si>
    <t>DATA-23</t>
  </si>
  <si>
    <t>Summarize what access staff (or third parties) have to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</si>
  <si>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</si>
  <si>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</si>
  <si>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Vague responses to this question should be investigated further. Ask for additional documentation and verify that procedure (and possibly training) exists to ensure proper customer data handling activity.</t>
  </si>
  <si>
    <t>DCTR-01</t>
  </si>
  <si>
    <t>Select your hosting option.</t>
  </si>
  <si>
    <t>If you are using an option not listed, or a combination of options, select "Other." Your selection here will determine which questions below are required.</t>
  </si>
  <si>
    <t>Understanding the hosting environment may reveal infrastructure risks that may not be apparent by other means and provides context to the responses provided throughout this HECVAT.</t>
  </si>
  <si>
    <t>Follow-up inquiries for hosting options will be institution/implementation specific.</t>
  </si>
  <si>
    <t>DCTR-02</t>
  </si>
  <si>
    <t>Obtain the report if possible and add it to your submission.</t>
  </si>
  <si>
    <t>DCTR-03</t>
  </si>
  <si>
    <t>Please indicate which geographic regions you can provide storage in the Additional Info column.</t>
  </si>
  <si>
    <t>Under what circumstances would institutional data leave a designated region or regions?</t>
  </si>
  <si>
    <t>DCTR-04</t>
  </si>
  <si>
    <t>Are the data centers staffed 24 hours a day, seven days a week (i.e., 24 x 7 x 365)?</t>
  </si>
  <si>
    <t>State any plans to staff data centers 24 x 7 x 365.</t>
  </si>
  <si>
    <t>Describe the on-site staff capabilities.</t>
  </si>
  <si>
    <t>Follow-up inquiries for data center staffing will be institution/implementation specific.</t>
  </si>
  <si>
    <t>DCTR-05</t>
  </si>
  <si>
    <t>Describe your physical barrier strategy.</t>
  </si>
  <si>
    <t>Follow-up inquiries for system physical security will be institution/implementation specific.</t>
  </si>
  <si>
    <t>DCTR-06</t>
  </si>
  <si>
    <t>State plans to implement a physical barrier to prevent physical contact with any of your devices.</t>
  </si>
  <si>
    <t>DCTR-07</t>
  </si>
  <si>
    <t>Are your primary and secondary data centers geographically diverse?</t>
  </si>
  <si>
    <t>Describe any plans to implement.</t>
  </si>
  <si>
    <t>State your primary and secondary data center locations. For cloud infrastructures, state the primary and secondary zones.</t>
  </si>
  <si>
    <t>Follow-up inquiries for geographic diversity in datacenters will be institution/implementation specific.</t>
  </si>
  <si>
    <t>DCTR-08</t>
  </si>
  <si>
    <t>DCTR-09</t>
  </si>
  <si>
    <t>DCTR-10</t>
  </si>
  <si>
    <t>Is the service hosted in a high-availability environment?</t>
  </si>
  <si>
    <t>Describe any plans to implement a high-availability environment for your systems.</t>
  </si>
  <si>
    <t>Provide a summary to support your response selection.</t>
  </si>
  <si>
    <t>In the context of the CIA triad, this question is focused on the availability of a system (or set of systems).</t>
  </si>
  <si>
    <t>DCTR-11</t>
  </si>
  <si>
    <t>Is redundant power available for all data centers where institutional data will reside?</t>
  </si>
  <si>
    <t>Describe any plans to implement a redundant power environment for your systems.</t>
  </si>
  <si>
    <t>DCTR-12</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</si>
  <si>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</si>
  <si>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</si>
  <si>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</si>
  <si>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DCTR-13</t>
  </si>
  <si>
    <t>Follow-up inquiries for cooling and fire suppression systems will be institution/implementation specific.</t>
  </si>
  <si>
    <t>DCTR-14</t>
  </si>
  <si>
    <t>Do you have Internet Service Provider (ISP) redundancy?</t>
  </si>
  <si>
    <t>State the ISP provider(s) in addition to the number of ISPs that provide connectivity.</t>
  </si>
  <si>
    <t>State how many Internet Service Providers (ISPs) provide connectivity to each data center where the institution's data will reside.</t>
  </si>
  <si>
    <t>DCTR-15</t>
  </si>
  <si>
    <t>Does every data center where the institution's data will reside have multiple telephone company or network provider entrances to the facility?</t>
  </si>
  <si>
    <t>State plans to implement diversity of path in your network provider connections.</t>
  </si>
  <si>
    <t>Provide a brief description for each datacenter.</t>
  </si>
  <si>
    <t>DCTR-16</t>
  </si>
  <si>
    <t>Describe plans to implement MFA.</t>
  </si>
  <si>
    <t>State which model of MFA you are using.</t>
  </si>
  <si>
    <t>Describe how you alternately harden your images.</t>
  </si>
  <si>
    <t>In the context of the CIA triad, this question is focused on the integrity of a system (or set of systems).</t>
  </si>
  <si>
    <t>Describe your key management practices.</t>
  </si>
  <si>
    <t>FIDP-01</t>
  </si>
  <si>
    <t>Describe any plans to implement a SPI firewall.</t>
  </si>
  <si>
    <t>Describe the currently implemented SPI firewall.</t>
  </si>
  <si>
    <t>FIDP-02</t>
  </si>
  <si>
    <t>Describe how firewall changes are approved.</t>
  </si>
  <si>
    <t>List approver names or titles.</t>
  </si>
  <si>
    <t>Modifications to firewall rule sets can have significant repercussions. To ensure the integrity of the rule set, this question targets the individual (or responsible party) for changes and the reasoning behind their authority.</t>
  </si>
  <si>
    <t>Ensure that a separation of duties exists in network security configurations. Pay close attention to responsibility overlap in small organizations, where staff often fill multiple roles.</t>
  </si>
  <si>
    <t>FIDP-03</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</si>
  <si>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</si>
  <si>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</si>
  <si>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</si>
  <si>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</si>
  <si>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FIDP-04</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</si>
  <si>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</si>
  <si>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</si>
  <si>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FIDP-05</t>
  </si>
  <si>
    <t>Describe the currently implemented IPS.</t>
  </si>
  <si>
    <t>FIDP-06</t>
  </si>
  <si>
    <t>Describe the currently implemented host-based IDS solution(s).</t>
  </si>
  <si>
    <t>FIDP-07</t>
  </si>
  <si>
    <t>Do you employ host-based intrusion prevention?</t>
  </si>
  <si>
    <t>Describe the currently implemented host-based IPS solution(s).</t>
  </si>
  <si>
    <t>FIDP-08</t>
  </si>
  <si>
    <t>Are you employing any next-generation persistent threat (NGPT) monitoring?</t>
  </si>
  <si>
    <t>Describe your intent to implement NGPT monitoring.</t>
  </si>
  <si>
    <t>Describe your NGPT monitoring strategy.</t>
  </si>
  <si>
    <t>Follow-up inquiries for next-generation persistent threat monitoring will be institution/implementation specific.</t>
  </si>
  <si>
    <t>FIDP-09</t>
  </si>
  <si>
    <t>Do you monitor for intrusions on a 24 x 7 x 365 basis?</t>
  </si>
  <si>
    <t>State plans to implement 24 x 7 x 365 intrusion monitoring in your environment(s).</t>
  </si>
  <si>
    <t>Provide a brief summary of this activity.</t>
  </si>
  <si>
    <t>Follow-up inquiries for 24 x 7 x 365 monitoring will be institution/implementation specific.</t>
  </si>
  <si>
    <t>FIDP-10</t>
  </si>
  <si>
    <t>Is intrusion monitoring performed internally or by a third-party service?</t>
  </si>
  <si>
    <t>In addition to stating your intrusion monitoring strategy, provide a brief summary of its implementation.</t>
  </si>
  <si>
    <t>Follow-up inquiries for intrusion monitoring will be institution/implementation specific.</t>
  </si>
  <si>
    <t>FIDP-11</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</si>
  <si>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</si>
  <si>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</si>
  <si>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</si>
  <si>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PPPR-01</t>
  </si>
  <si>
    <t>PPPR-02</t>
  </si>
  <si>
    <t>Can you accommodate encryption requirements using open standards?</t>
  </si>
  <si>
    <t>PPPR-03</t>
  </si>
  <si>
    <t>Are information security principles designed into the product lifecycle?</t>
  </si>
  <si>
    <t>State why security principles are not designed into the product lifecycle.</t>
  </si>
  <si>
    <t>Summarize the information security principles designed into the product lifecycle.</t>
  </si>
  <si>
    <t>PPPR-04</t>
  </si>
  <si>
    <t>Do you have a documented systems development life cycle (SDLC)?</t>
  </si>
  <si>
    <t>State any plans to implement an SDLC.</t>
  </si>
  <si>
    <t>Briefly summarize your SDLC or provide a link or attachment.</t>
  </si>
  <si>
    <t>PPPR-05</t>
  </si>
  <si>
    <t>Will you comply with applicable breach notification laws?</t>
  </si>
  <si>
    <t>Summarize why you will not comple with applicable breach notification laws.</t>
  </si>
  <si>
    <t>State how quickly the institution will be notified of a data breach or security incident.</t>
  </si>
  <si>
    <t>PPPR-06</t>
  </si>
  <si>
    <t>Summarize why you will not comply with the institution's IT policy with regards to user privacy and data protection.</t>
  </si>
  <si>
    <t>State that you have reviewed the institution's IT policies with regards to user privacy and data protection.</t>
  </si>
  <si>
    <t>PPPR-07</t>
  </si>
  <si>
    <t>State the country that governs and regulates your company.</t>
  </si>
  <si>
    <t>PPPR-08</t>
  </si>
  <si>
    <t>Do you perform background screenings or multi-state background checks on all employees prior to their first day of work?</t>
  </si>
  <si>
    <t>State plans to implement background check elements into your hiring process.</t>
  </si>
  <si>
    <t>Summarize your background check practices.</t>
  </si>
  <si>
    <t>PPPR-09</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</si>
  <si>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</si>
  <si>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</si>
  <si>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</si>
  <si>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increasing awareness of security-related responsibilities are part of these initial-hiring documents. Oftentimes these agreements and reviews are conducted during orientation for new employees.</t>
  </si>
  <si>
    <t>PPPR-10</t>
  </si>
  <si>
    <t>Do you have a documented information security policy?</t>
  </si>
  <si>
    <t>State plans to implement information security policy at your company.</t>
  </si>
  <si>
    <t>Provide a reference to your information security policy or submit documentation with this fully populated HECVAT.</t>
  </si>
  <si>
    <t>PPPR-11</t>
  </si>
  <si>
    <t>Do you have an information security awareness program?</t>
  </si>
  <si>
    <t>State plans to implement an information security awareness program.</t>
  </si>
  <si>
    <t>Summarize your information security awareness program.</t>
  </si>
  <si>
    <t>Follow-up inquiries for information security awareness programs will be institution/implementation specific.</t>
  </si>
  <si>
    <t>PPPR-12</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</si>
  <si>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</si>
  <si>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</si>
  <si>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</si>
  <si>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PPPR-13</t>
  </si>
  <si>
    <t>Do you have process and procedure(s) documented, and currently followed, that require a review and update of the access list(s) for privileged accounts?</t>
  </si>
  <si>
    <t>Describe plans to implement privileged account access list reviews to your environment.</t>
  </si>
  <si>
    <t>Provide a brief summary and the implement review interval.</t>
  </si>
  <si>
    <t>PPPR-14</t>
  </si>
  <si>
    <t>Do you have documented, and currently implemented, internal audit processes and procedures?</t>
  </si>
  <si>
    <t>State plans to document and implement internal audit process and procedure in your environment.</t>
  </si>
  <si>
    <t>Summarize your internal audit processes and procedures.</t>
  </si>
  <si>
    <t>Follow-up inquiries for internal audit processes and procedures will be institution/implementation specific.</t>
  </si>
  <si>
    <t>PPPR-15</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</si>
  <si>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</si>
  <si>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</si>
  <si>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</si>
  <si>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Follow-up inquiries for physical security controls and policies will be institution/implementation specific.</t>
  </si>
  <si>
    <t>HFIH-01</t>
  </si>
  <si>
    <t>Do you have a formal incident response plan?</t>
  </si>
  <si>
    <t>State plans to formalize an incident response plan.</t>
  </si>
  <si>
    <t>Summarize or provide a link to your formal incident response plan.</t>
  </si>
  <si>
    <t>HFIH-02</t>
  </si>
  <si>
    <t>Do you either have an internal incident response team or retain an external team?</t>
  </si>
  <si>
    <t>Describe your timeline for implementing such a process for response and reporting.</t>
  </si>
  <si>
    <t>Summarize your incident response and reporting processes.</t>
  </si>
  <si>
    <t>HFIH-03</t>
  </si>
  <si>
    <t>Do you have the capability to respond to incidents on a 24 x 7 x 365 basis?</t>
  </si>
  <si>
    <t>State plans for acquiring internal resources or an external team.</t>
  </si>
  <si>
    <t>Summarize your internal approach or reference your third-party contractor.</t>
  </si>
  <si>
    <t>HFIH-04</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</si>
  <si>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</si>
  <si>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</si>
  <si>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VULN-01</t>
  </si>
  <si>
    <t>Are your systems and applications regularly scanned externally for vulnerabilities?</t>
  </si>
  <si>
    <t>Describe any plans to implement external vulnerability scanning for your applications.</t>
  </si>
  <si>
    <t>Decribe your external application vulnerability scanning strategy.</t>
  </si>
  <si>
    <t>VULN-02</t>
  </si>
  <si>
    <t>Have your systems and applications had a third-party security assessment completed in the last year?</t>
  </si>
  <si>
    <t>State plans to have your systems and applications assessed by a third party.</t>
  </si>
  <si>
    <t>Provide the results with this document (link or attached), if possible. State the date of the last completed third-party security assessment.</t>
  </si>
  <si>
    <t>VULN-03</t>
  </si>
  <si>
    <t>Describe plans to implement application vulnerability scanning (and remediation) prior to release.</t>
  </si>
  <si>
    <t>Provide a brief description.</t>
  </si>
  <si>
    <t>VULN-04</t>
  </si>
  <si>
    <t>Describe why security scan results will not be provided to the institution.</t>
  </si>
  <si>
    <t>Provide a reference to security scan documentation.</t>
  </si>
  <si>
    <t>VULN-05</t>
  </si>
  <si>
    <t>Ensure that all elements of VULN-05 are clearly stated in your response.</t>
  </si>
  <si>
    <t>VULN-06</t>
  </si>
  <si>
    <t>Provide a brief summary for your response.</t>
  </si>
  <si>
    <t>Follow-up inquiries for vulnerability scanning and penetration testing will be institution/implementation specific.</t>
  </si>
  <si>
    <t>HIPA-01</t>
  </si>
  <si>
    <t>Case-specific</t>
  </si>
  <si>
    <t>Refer to HIPAA regulations documentation for supplemental guidance in this section.</t>
  </si>
  <si>
    <t>HIPAA</t>
  </si>
  <si>
    <t>Refer to HIPAA documentation or your institution's Chief HIPAA Security Officer.</t>
  </si>
  <si>
    <t>HIPA-02</t>
  </si>
  <si>
    <t>Do you monitor or receive information regarding changes in HIPAA regulations?</t>
  </si>
  <si>
    <t>HIPA-03</t>
  </si>
  <si>
    <t>Has your organization designated HIPAA Privacy and Security officers as required by the rules?</t>
  </si>
  <si>
    <t>HIPA-04</t>
  </si>
  <si>
    <t>Do you comply with the requirements of the Health Information Technology for Economic and Clinical Health Act (HITECH)?</t>
  </si>
  <si>
    <t>HIPA-05</t>
  </si>
  <si>
    <t>HIPA-06</t>
  </si>
  <si>
    <t>HIPA-07</t>
  </si>
  <si>
    <t>Have you taken actions to mitigate the identified risks?</t>
  </si>
  <si>
    <t>HIPA-08</t>
  </si>
  <si>
    <t>Does your application require user and system administrator password changes at a frequency no greater than 90 days?</t>
  </si>
  <si>
    <t>HIPA-09</t>
  </si>
  <si>
    <t>Does your application require users to set their own password after an administrator reset or on first use of the account?</t>
  </si>
  <si>
    <t>HIPA-10</t>
  </si>
  <si>
    <t>Does your application lock out an account after a number of failed login attempts?</t>
  </si>
  <si>
    <t>HIPA-11</t>
  </si>
  <si>
    <t>Does your application automatically lock or log-out an account after a period of inactivity?</t>
  </si>
  <si>
    <t>HIPA-12</t>
  </si>
  <si>
    <t>Are passwords visible in plain text, whether when stored or entered, including service level accounts (i.e., database accounts, etc.)?</t>
  </si>
  <si>
    <t>HIPA-13</t>
  </si>
  <si>
    <t>If the application is institution-hosted, can all service level and administrative account passwords be changed by the institution?</t>
  </si>
  <si>
    <t>HIPA-14</t>
  </si>
  <si>
    <t>Does your application provide the ability to define user access levels?</t>
  </si>
  <si>
    <t>HIPA-15</t>
  </si>
  <si>
    <t>Does your application support varying levels of access to administrative tasks defined individually per user?</t>
  </si>
  <si>
    <t>HIPA-16</t>
  </si>
  <si>
    <t>Does your application support varying levels of access to records based on user ID?</t>
  </si>
  <si>
    <t>HIPA-17</t>
  </si>
  <si>
    <t>Is there a limit to the number of groups to which a user can be assigned?</t>
  </si>
  <si>
    <t>HIPA-18</t>
  </si>
  <si>
    <t>HIPA-19</t>
  </si>
  <si>
    <t>Does the application log record access including specific user, date/time of access, and originating IP or device?</t>
  </si>
  <si>
    <t>HIPA-20</t>
  </si>
  <si>
    <t>HIPA-21</t>
  </si>
  <si>
    <t>HIPA-22</t>
  </si>
  <si>
    <t>Can the application logs be archived?</t>
  </si>
  <si>
    <t>HIPA-23</t>
  </si>
  <si>
    <t>Can the application logs be saved externally?</t>
  </si>
  <si>
    <t>HIPA-24</t>
  </si>
  <si>
    <t>Do your data backup and retention policies and practices meet HIPAA requirements?</t>
  </si>
  <si>
    <t>HIPA-25</t>
  </si>
  <si>
    <t>Do you have a disaster recovery plan and emergency mode operation plan?</t>
  </si>
  <si>
    <t>HIPA-26</t>
  </si>
  <si>
    <t>HIPA-27</t>
  </si>
  <si>
    <t>Can you provide a HIPAA compliance attestation document?</t>
  </si>
  <si>
    <t>HIPA-28</t>
  </si>
  <si>
    <t>Are you willing to enter into a Business Associate Agreement (BAA)?</t>
  </si>
  <si>
    <t>HIPA-29</t>
  </si>
  <si>
    <t>PCID-01</t>
  </si>
  <si>
    <t>Refer to PCI DSS Security Standards for supplemental guidance in this section</t>
  </si>
  <si>
    <t>PCI DSS</t>
  </si>
  <si>
    <t>Refer to PCI DSS documentation or your institution's treasurer's office.</t>
  </si>
  <si>
    <t>PCID-02</t>
  </si>
  <si>
    <t>Are you compliant with the Payment Card Industry Data Security Standard (PCI DSS)?</t>
  </si>
  <si>
    <t>PCID-03</t>
  </si>
  <si>
    <t>PCID-04</t>
  </si>
  <si>
    <t>Are you classified as a service provider?</t>
  </si>
  <si>
    <t>PCID-05</t>
  </si>
  <si>
    <t>PCID-06</t>
  </si>
  <si>
    <t>Are you classified as a merchant? If so, what level (1, 2, 3, 4)?</t>
  </si>
  <si>
    <t>PCID-07</t>
  </si>
  <si>
    <t>Describe the architecture employed by the system to verify and authorize credit card transactions.</t>
  </si>
  <si>
    <t>PCID-08</t>
  </si>
  <si>
    <t>What payment processors/gateways does the system support?</t>
  </si>
  <si>
    <t>PCID-09</t>
  </si>
  <si>
    <t>PCID-10</t>
  </si>
  <si>
    <t>PCID-11</t>
  </si>
  <si>
    <t>PCID-12</t>
  </si>
  <si>
    <t>OPEM-01</t>
  </si>
  <si>
    <t>Include the number of years and in what capacity.</t>
  </si>
  <si>
    <t>OPEM-02</t>
  </si>
  <si>
    <t>Do you have existing higher education customers?</t>
  </si>
  <si>
    <t>State your primary industry.</t>
  </si>
  <si>
    <t>Provide a list of higher education references, with contact information.</t>
  </si>
  <si>
    <t>OPEM-03</t>
  </si>
  <si>
    <t>Do you support role-based access control (RBAC) for system administrators?</t>
  </si>
  <si>
    <t>Describe any limitations to your roles-based approach.</t>
  </si>
  <si>
    <t>Describe your RBAC.</t>
  </si>
  <si>
    <t>OPEM-04</t>
  </si>
  <si>
    <t>Can your employees access customer systems remotely?</t>
  </si>
  <si>
    <t>Describe the tools and technical controls implemented to secure remote access.</t>
  </si>
  <si>
    <t>OPEM-05</t>
  </si>
  <si>
    <t>Can you provide overall system and/or application architecture diagrams including a full description of the data communications architecture for all components of the system?</t>
  </si>
  <si>
    <t>State any plans to provide system and/or application architecture diagrams.</t>
  </si>
  <si>
    <t>Provide a reference to the requested documents or provide them when submitting this fully populated HECVAT.</t>
  </si>
  <si>
    <t>OPEM-06</t>
  </si>
  <si>
    <t>Do you require remote management of the system?</t>
  </si>
  <si>
    <t>OPEM-07</t>
  </si>
  <si>
    <t>Describe how these logs are made available.</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</si>
  <si>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t>
  </si>
  <si>
    <t>OPEM-08</t>
  </si>
  <si>
    <t>OPEM-09</t>
  </si>
  <si>
    <t>Do you support campus status monitoring through SNMPv3 or other means?</t>
  </si>
  <si>
    <t>Describe your plans to support monitoring.</t>
  </si>
  <si>
    <t>Please describe your monitoring support.</t>
  </si>
  <si>
    <t>Follow-up inquiries for monitoring via SNMPv3 will be institution/implementation specific.</t>
  </si>
  <si>
    <t>OPEM-10</t>
  </si>
  <si>
    <t>Describe or provide a reference to any other safeguards used to monitor for malicious activity.</t>
  </si>
  <si>
    <t>Please detail your monitoring strategy</t>
  </si>
  <si>
    <t>Follow-up inquiries for system monitoring will be institution/implementation specific.</t>
  </si>
  <si>
    <t>Web Link to Product/Service Privacy Notice</t>
  </si>
  <si>
    <t>PCOM-01</t>
  </si>
  <si>
    <t>Do you have a dedicated data privacy staff or office?</t>
  </si>
  <si>
    <t>Describe your Data Privacy Office or plans, including size, talents, resources, etc.</t>
  </si>
  <si>
    <t>PCOM-02</t>
  </si>
  <si>
    <t>Provide documentation about the data breach and the resolution.</t>
  </si>
  <si>
    <t>PCOM-03</t>
  </si>
  <si>
    <t>Have you had any data privacy policy or law violations in the past 36 months?</t>
  </si>
  <si>
    <t>Provide documentation about the data breach or privacy incident and the resolution.</t>
  </si>
  <si>
    <t>PCOM-04</t>
  </si>
  <si>
    <t>PDOC-01</t>
  </si>
  <si>
    <t>PDOC-02</t>
  </si>
  <si>
    <t>Provide any plans to conform.</t>
  </si>
  <si>
    <t>PDOC-03</t>
  </si>
  <si>
    <t>Does your employee onboarding and offboarding policy include training of employees on information security and data privacy?</t>
  </si>
  <si>
    <t>PTHP-01</t>
  </si>
  <si>
    <t xml:space="preserve">Do you perform privacy impact assesments of third parties that collect, process, or have access to personal data to ensure they meet industry and regulatory standards and to mitigate harmful, unethical, or discriminatory impacts on data subjects? </t>
  </si>
  <si>
    <t>State your plans to perform data privacy assessments of third parties.</t>
  </si>
  <si>
    <t>Provide a summary of your practices that assures that the third party will be subject to the appropriate standards regarding data privacy.</t>
  </si>
  <si>
    <t>PTHP-02</t>
  </si>
  <si>
    <t>PCHG-01</t>
  </si>
  <si>
    <t>Does your change management process include privacy review and approval?</t>
  </si>
  <si>
    <t xml:space="preserve">Please describe your process for privacy review. </t>
  </si>
  <si>
    <t>PCHG-02</t>
  </si>
  <si>
    <t>Do you have policy and procedure, currently implemented, guiding how privacy risks are mitigated until they can be resolved?</t>
  </si>
  <si>
    <t>PDAT-01</t>
  </si>
  <si>
    <t>Describe where and whether you comply with the laws of that jurisdiction.</t>
  </si>
  <si>
    <t>PDAT-02</t>
  </si>
  <si>
    <t>Will you handle personal data in a manner compliant with all relevant laws, regulations, and applicable institution policies?</t>
  </si>
  <si>
    <t>Please indicate which regulatory requirements apply and how you comply.</t>
  </si>
  <si>
    <t>PDAT-03</t>
  </si>
  <si>
    <t xml:space="preserve">Describe which demographic information you handle. </t>
  </si>
  <si>
    <t>PDAT-04</t>
  </si>
  <si>
    <t xml:space="preserve">Briefly summarize your use of such informatoin and the protection thereof. </t>
  </si>
  <si>
    <t>PDAT-05</t>
  </si>
  <si>
    <t>PDAT-06</t>
  </si>
  <si>
    <t>PDAT-07</t>
  </si>
  <si>
    <t>Describe the tracking component and what is done with the information.</t>
  </si>
  <si>
    <t>PDAT-08</t>
  </si>
  <si>
    <t>PRPO-01</t>
  </si>
  <si>
    <t>Do you have a documented privacy management process?</t>
  </si>
  <si>
    <t>Are there plans to implement?</t>
  </si>
  <si>
    <t>Describe privacy management process or provide links or attach documentation.</t>
  </si>
  <si>
    <t>PRPO-02</t>
  </si>
  <si>
    <t>State why principles are not designed into the product lifecycle.</t>
  </si>
  <si>
    <t>Summarize the privacy principles designed into the product lifecycle.</t>
  </si>
  <si>
    <t>PRPO-03</t>
  </si>
  <si>
    <t>Provide reason for not complying.</t>
  </si>
  <si>
    <t>State how quickly the institution will be notified.</t>
  </si>
  <si>
    <t>PRPO-04</t>
  </si>
  <si>
    <t>Will you comply with the institution's policies regarding user privacy and data protection?</t>
  </si>
  <si>
    <t>PRPO-05</t>
  </si>
  <si>
    <t>Is your company subject to the laws and regulations of the institution's geographic region?</t>
  </si>
  <si>
    <t>PRPO-06</t>
  </si>
  <si>
    <t>Describe plans to include data privacy training.</t>
  </si>
  <si>
    <t>PRPO-07</t>
  </si>
  <si>
    <t>Is privacy awareness training mandatory for all employees?</t>
  </si>
  <si>
    <t>Describe plans to require.</t>
  </si>
  <si>
    <t>Summarize your privacy awareness training content and state how frequently employees are required to undergo privacy awareness training</t>
  </si>
  <si>
    <t>PRPO-08</t>
  </si>
  <si>
    <t>Is AI privacy and ethics awareness/training required for all employees who work with AI?</t>
  </si>
  <si>
    <t>Describe plans to include AI training.</t>
  </si>
  <si>
    <t>PRPO-09</t>
  </si>
  <si>
    <t>Provide list of all fully automated decision-making processes.</t>
  </si>
  <si>
    <t>PRPO-10</t>
  </si>
  <si>
    <t>Do you have a documented process for managing automated processing, including validations, monitoring, and data subject requests?</t>
  </si>
  <si>
    <t>Provide documentation describing management processes.</t>
  </si>
  <si>
    <t>PRPO-11</t>
  </si>
  <si>
    <t>Do you have a documented policy for sharing information with law enforcement?</t>
  </si>
  <si>
    <t>Provide a high-level overview of the policy or plans to implement a policy.</t>
  </si>
  <si>
    <t>PRPO-12</t>
  </si>
  <si>
    <t xml:space="preserve">Describe the circumstances in which you share with law enforcement. </t>
  </si>
  <si>
    <t>PRPO-13</t>
  </si>
  <si>
    <t>Does your incident response team include a privacy analyst/officer?</t>
  </si>
  <si>
    <t>INTL-01</t>
  </si>
  <si>
    <t>Will data be collected from or processed in or stored in the European Economic Area (EEA)?</t>
  </si>
  <si>
    <t>Describe where and what activities will take place in the EEA.</t>
  </si>
  <si>
    <t>INTL-02</t>
  </si>
  <si>
    <t>Provide the name and contact information for the DPO.</t>
  </si>
  <si>
    <t>INTL-03</t>
  </si>
  <si>
    <t>Will you sign appropriate GDPR Standard Contractual Clauses (SCCs) with the institution?</t>
  </si>
  <si>
    <t>INTL-04</t>
  </si>
  <si>
    <t>Will data be collected from or processed in or stored in China?</t>
  </si>
  <si>
    <t>Describe where and what activities will take place in China.</t>
  </si>
  <si>
    <t>INTL-05</t>
  </si>
  <si>
    <t>Do you comply with PIPL security, privacy, and data localization requirements?</t>
  </si>
  <si>
    <t>Do you provide an end-user privacy notice about privacy policies and procedures that identify the purpose(s) for which personal information is collected, used, retained, and disclosed?</t>
  </si>
  <si>
    <t>Do you describe the choices available to the individual and obtain implicit or explicit consent with respect to the collection, use, and disclosure of personal information?</t>
  </si>
  <si>
    <t>Do you have a documented list of personal data your service maintains?</t>
  </si>
  <si>
    <t>Do you retain personal information for only as long as necessary to fulfill the stated purpose(s) or as required by law or regulation and thereafter appropriately dispose of such information?</t>
  </si>
  <si>
    <t>Do you protect personal information against unauthorized access (both physical and logical)?</t>
  </si>
  <si>
    <t>Do you have procedures to address privacy-related noncompliance complaints and disputes?</t>
  </si>
  <si>
    <t>Do you "anonymize," "de-identify," or otherwise mask personal data?</t>
  </si>
  <si>
    <t>Do you certify stop-processing requests, including any data that is processed by a third party on your behalf?</t>
  </si>
  <si>
    <t>Do you have a process to review code for ethical considerations?</t>
  </si>
  <si>
    <t>DPAI-03</t>
  </si>
  <si>
    <t>Is AI processing limited to fully licensed commercial enterprise AI services?</t>
  </si>
  <si>
    <t>DPAI-04</t>
  </si>
  <si>
    <t>DPAI-05</t>
  </si>
  <si>
    <t>Will institutional data be used or processed by any shared AI services?</t>
  </si>
  <si>
    <t>DPAI-06</t>
  </si>
  <si>
    <t>DPAI-07</t>
  </si>
  <si>
    <t>DPAI-08</t>
  </si>
  <si>
    <t>Do you provide choice to the user to opt out of AI use?</t>
  </si>
  <si>
    <t>AIQU-01</t>
  </si>
  <si>
    <t>Trigger for ML Questions</t>
  </si>
  <si>
    <t>AIQU-02</t>
  </si>
  <si>
    <t>Trigger for LLM Questions</t>
  </si>
  <si>
    <t>AIGN-01</t>
  </si>
  <si>
    <t>Looking for the capabilities, use-case, goals, and benefits of the AI model or feature(s).</t>
  </si>
  <si>
    <t>AIGN-02</t>
  </si>
  <si>
    <t>Examples include AI RMF, OWASP Top 10, RAFT, MITRE ATLAS.</t>
  </si>
  <si>
    <t>AIGN-03</t>
  </si>
  <si>
    <t>AIGN-04</t>
  </si>
  <si>
    <t>Looking for business rules, model assertions, or prediction limiters to mitigate exposure of senstive data through model inputs.</t>
  </si>
  <si>
    <t>AIGN-05</t>
  </si>
  <si>
    <t>Provide the responsible AI training provided to your staff and its frequency.</t>
  </si>
  <si>
    <t>AIPL-01</t>
  </si>
  <si>
    <t>AIPL-02</t>
  </si>
  <si>
    <t>AIPL-03</t>
  </si>
  <si>
    <t>AIPL-04</t>
  </si>
  <si>
    <t>AIPL-05</t>
  </si>
  <si>
    <t>AISC-01</t>
  </si>
  <si>
    <t>AISC-02</t>
  </si>
  <si>
    <t>AISC-03</t>
  </si>
  <si>
    <t>Looking for SAST (Static Application Security Testing) and SBOM (Software Bill of Materials) attestations.</t>
  </si>
  <si>
    <t>AISC-04</t>
  </si>
  <si>
    <t>AISC-05</t>
  </si>
  <si>
    <t>Looking for the ability to audit AI feature(s) for a regulated data audit or incident response.</t>
  </si>
  <si>
    <t>AIML-01</t>
  </si>
  <si>
    <t>Looking for policies/procedures about validating and verifying any data used to train the model through validation checks and employing multiple data labelers to validate the accuracy of the data labeling.</t>
  </si>
  <si>
    <t>AIML-02</t>
  </si>
  <si>
    <t>Looking for protection of training data.</t>
  </si>
  <si>
    <t>AIML-03</t>
  </si>
  <si>
    <t>Have you limited access to your ML training data to only staff with an explicit business need?</t>
  </si>
  <si>
    <t>Looking for limited access to training data.</t>
  </si>
  <si>
    <t>AIML-04</t>
  </si>
  <si>
    <t>Is your ML training data monitored and audited?</t>
  </si>
  <si>
    <t>Looking for how you reduce the risk of compromising training data.</t>
  </si>
  <si>
    <t>AIML-05</t>
  </si>
  <si>
    <t>Looking for adversarial training or models that incorporate other defense mechanisms.</t>
  </si>
  <si>
    <t>AIML-06</t>
  </si>
  <si>
    <t>Looking for model transparency, logging of inputs and outputs, explainations for the model's predictions, and allowing the users to inspect the model's internal representations.</t>
  </si>
  <si>
    <t>AIML-07</t>
  </si>
  <si>
    <t>Do you watermark your ML training data?</t>
  </si>
  <si>
    <t>Looking for watermarking of training data to aid in your incident response.</t>
  </si>
  <si>
    <t>AIML-08</t>
  </si>
  <si>
    <t>Looking for authentication and verification of feedback of the ML model to address the risk of model skewing.</t>
  </si>
  <si>
    <t>AILM-01</t>
  </si>
  <si>
    <t>AILM-02</t>
  </si>
  <si>
    <t>Looking for policies/procedures for validating and verifying any data used to train the model through validation checks and employing multiple data labelers to validate the accuracy of the data labeling.</t>
  </si>
  <si>
    <t>AILM-03</t>
  </si>
  <si>
    <t>Looking for resource use limits to mitigate denial of service (DoS) attacks.</t>
  </si>
  <si>
    <t>AILM-04</t>
  </si>
  <si>
    <t xml:space="preserve">Looking for human intervention prior to LLM feature actions to mitigate permissions issues and unauthorized actions. </t>
  </si>
  <si>
    <t>AILM-05</t>
  </si>
  <si>
    <t>Looking for a limitation of plugins called per request to help limit data leakage and privilege escalation.</t>
  </si>
  <si>
    <t>AILM-06</t>
  </si>
  <si>
    <t>Do you perform taint tracing or tracking on all plugin content related to the LLM?</t>
  </si>
  <si>
    <t>Looking for taint tracing or tracking of LLM plugins to mitigate malicious inputs tuning and prompt engineering.</t>
  </si>
  <si>
    <t>AILM-07</t>
  </si>
  <si>
    <t>Do you leverage LLM model tuning or other model validation mechanisms?</t>
  </si>
  <si>
    <t>Looking for fact-checking and accuracy tuning of the LLM outputs.</t>
  </si>
  <si>
    <t>1. Complete the "Start Here" tab and review the "Required Questions" guidance to find the other sections are required for your product or service.</t>
  </si>
  <si>
    <t>Hosting option selection makes some questions N/A</t>
  </si>
  <si>
    <t>Based on the response to DCTR-01, this question does not apply to this product or service.</t>
  </si>
  <si>
    <t>NO to REQU-07</t>
  </si>
  <si>
    <t>YES to REQU-07</t>
  </si>
  <si>
    <t>NO to REQU-06</t>
  </si>
  <si>
    <t>YES to REQU-06</t>
  </si>
  <si>
    <t>NO to REQU-05</t>
  </si>
  <si>
    <t>YES to REQU-05</t>
  </si>
  <si>
    <t>NO to REQU-04</t>
  </si>
  <si>
    <t>YES to REQU-04</t>
  </si>
  <si>
    <t>NO to REQU-03</t>
  </si>
  <si>
    <t>YES to REQU-03</t>
  </si>
  <si>
    <t>NO to REQU-02</t>
  </si>
  <si>
    <t>Yes to REQU-02</t>
  </si>
  <si>
    <t>NO to REQU-01</t>
  </si>
  <si>
    <t>Yes to REQU-01</t>
  </si>
  <si>
    <t>Does not leverage a large language model</t>
  </si>
  <si>
    <t>Does not leverage machine learning</t>
  </si>
  <si>
    <t>Not on-prem</t>
  </si>
  <si>
    <t>No PCI DSS</t>
  </si>
  <si>
    <t>No HIPAA covered PHI</t>
  </si>
  <si>
    <t>No AI features</t>
  </si>
  <si>
    <t>Not a consultant</t>
  </si>
  <si>
    <t>No interface for accessibility review</t>
  </si>
  <si>
    <t>Does not offer a product or platform</t>
  </si>
  <si>
    <t>Context</t>
  </si>
  <si>
    <t>Vendor Response</t>
  </si>
  <si>
    <t>Guidance</t>
  </si>
  <si>
    <t>Analyst Notes</t>
  </si>
  <si>
    <t>Institution Assessment</t>
  </si>
  <si>
    <t>ID</t>
  </si>
  <si>
    <t>Vendor Answer</t>
  </si>
  <si>
    <t>DROPDOWN OPTIONS</t>
  </si>
  <si>
    <t>Mark as Compliant</t>
  </si>
  <si>
    <t>Mark as Non-Compliant</t>
  </si>
  <si>
    <t>Importance Override</t>
  </si>
  <si>
    <t>PRGN-01</t>
  </si>
  <si>
    <t>PRGN-02</t>
  </si>
  <si>
    <t>PRGN-03</t>
  </si>
  <si>
    <t>PRGN-04</t>
  </si>
  <si>
    <t>PRGN-05</t>
  </si>
  <si>
    <t>AWS</t>
  </si>
  <si>
    <t>Azure</t>
  </si>
  <si>
    <t>GCP</t>
  </si>
  <si>
    <t>Instructions for Solution Providers</t>
  </si>
  <si>
    <t>Instructions for Analysts</t>
  </si>
  <si>
    <t>Non-Negotiable?</t>
  </si>
  <si>
    <t>Does Not Apply/Do Not Score</t>
  </si>
  <si>
    <t>Compliant Response</t>
  </si>
  <si>
    <t>HECVAT Analyst Report</t>
  </si>
  <si>
    <t>Compliant Override</t>
  </si>
  <si>
    <t>2. When evaluating an answer, a default importance level has been set. You can use the "Importance Override" dropdown to override the default and adjust the value of the question.</t>
  </si>
  <si>
    <t>Follow-Up Inquiries/Responses</t>
  </si>
  <si>
    <t>GNRL</t>
  </si>
  <si>
    <t xml:space="preserve"> General Information</t>
  </si>
  <si>
    <t>COMP</t>
  </si>
  <si>
    <t xml:space="preserve"> Company Information</t>
  </si>
  <si>
    <t>REQU</t>
  </si>
  <si>
    <t xml:space="preserve"> Required Questions</t>
  </si>
  <si>
    <t>DOCU</t>
  </si>
  <si>
    <t xml:space="preserve"> Documentation</t>
  </si>
  <si>
    <t>ITAC</t>
  </si>
  <si>
    <t xml:space="preserve"> IT Accessibility</t>
  </si>
  <si>
    <t>THRD</t>
  </si>
  <si>
    <t xml:space="preserve"> Assessment of Third Parties</t>
  </si>
  <si>
    <t>CONS</t>
  </si>
  <si>
    <t xml:space="preserve"> Consulting Services</t>
  </si>
  <si>
    <t>APPL</t>
  </si>
  <si>
    <t xml:space="preserve"> Application/Service Security</t>
  </si>
  <si>
    <t>AAAI</t>
  </si>
  <si>
    <t>CHNG</t>
  </si>
  <si>
    <t xml:space="preserve"> Change Management</t>
  </si>
  <si>
    <t>DATA</t>
  </si>
  <si>
    <t xml:space="preserve"> Data</t>
  </si>
  <si>
    <t>DCTR</t>
  </si>
  <si>
    <t xml:space="preserve"> Datacenter</t>
  </si>
  <si>
    <t>FIDP</t>
  </si>
  <si>
    <t>PPPR</t>
  </si>
  <si>
    <t xml:space="preserve"> Policies, Processes, and Procedures</t>
  </si>
  <si>
    <t>HFIH</t>
  </si>
  <si>
    <t xml:space="preserve"> Incident Handling</t>
  </si>
  <si>
    <t>VULN</t>
  </si>
  <si>
    <t xml:space="preserve"> Vulnerability Management</t>
  </si>
  <si>
    <t>HIPA</t>
  </si>
  <si>
    <t>PCID</t>
  </si>
  <si>
    <t>OPEM</t>
  </si>
  <si>
    <t>PRGN</t>
  </si>
  <si>
    <t xml:space="preserve"> General Privacy</t>
  </si>
  <si>
    <t>PCOM</t>
  </si>
  <si>
    <t xml:space="preserve"> Privacy-Specific Company Details</t>
  </si>
  <si>
    <t>PDOC</t>
  </si>
  <si>
    <t>PTHP</t>
  </si>
  <si>
    <t xml:space="preserve"> Privacy of Third Parties</t>
  </si>
  <si>
    <t>PCHG</t>
  </si>
  <si>
    <t xml:space="preserve"> Privacy Change Management</t>
  </si>
  <si>
    <t>PDAT</t>
  </si>
  <si>
    <t xml:space="preserve"> Privacy of Sensitive Data</t>
  </si>
  <si>
    <t>PRPO</t>
  </si>
  <si>
    <t xml:space="preserve"> Privacy Policies and Procedures</t>
  </si>
  <si>
    <t>INTL</t>
  </si>
  <si>
    <t xml:space="preserve"> International Privacy</t>
  </si>
  <si>
    <t xml:space="preserve"> Data Privacy</t>
  </si>
  <si>
    <t>DPAI</t>
  </si>
  <si>
    <t xml:space="preserve"> Privacy and AI</t>
  </si>
  <si>
    <t>AIQU</t>
  </si>
  <si>
    <t xml:space="preserve"> AI Qualifying Questions</t>
  </si>
  <si>
    <t>AIGN</t>
  </si>
  <si>
    <t xml:space="preserve"> General AI Questions</t>
  </si>
  <si>
    <t>AIPL</t>
  </si>
  <si>
    <t xml:space="preserve"> AI Policy</t>
  </si>
  <si>
    <t>AISC</t>
  </si>
  <si>
    <t xml:space="preserve"> AI Data Security</t>
  </si>
  <si>
    <t>AIML</t>
  </si>
  <si>
    <t xml:space="preserve"> AI Machine Learning</t>
  </si>
  <si>
    <t>AILM</t>
  </si>
  <si>
    <t xml:space="preserve"> AI Large Language Model (LLM)</t>
  </si>
  <si>
    <t># of Questions</t>
  </si>
  <si>
    <t xml:space="preserve"> Privacy-Specific Documentation</t>
  </si>
  <si>
    <t>INSTRUCTIONS FOR ANALYSTS</t>
  </si>
  <si>
    <t>Date Completed</t>
  </si>
  <si>
    <t xml:space="preserve"> Payment Card Industry Data Security Standard (PCI DSS)</t>
  </si>
  <si>
    <t>HECVAT Analyst Reference</t>
  </si>
  <si>
    <t xml:space="preserve"> </t>
  </si>
  <si>
    <t>Overall Score</t>
  </si>
  <si>
    <t>Score %</t>
  </si>
  <si>
    <t>Score</t>
  </si>
  <si>
    <t>Report Sections</t>
  </si>
  <si>
    <t>Date Prepared</t>
  </si>
  <si>
    <t xml:space="preserve">There are cells within this worksheet are auto populated from the HECVAT - Full | Vendor Response worksheet and drop down lists. </t>
  </si>
  <si>
    <t>CIS Critical Security Controls v6.1</t>
  </si>
  <si>
    <t>ISO 27002:2013</t>
  </si>
  <si>
    <t>NIST Cybersecurity Framework</t>
  </si>
  <si>
    <t>NIST SP 800-171r1</t>
  </si>
  <si>
    <t>NIST SP 800-53r4</t>
  </si>
  <si>
    <t>Code</t>
  </si>
  <si>
    <t>Full Name</t>
  </si>
  <si>
    <t>QUESTION CATEGORY NAMES/TITLES</t>
  </si>
  <si>
    <t>Potential Score</t>
  </si>
  <si>
    <t>Actual Score</t>
  </si>
  <si>
    <t>Compliance Eval</t>
  </si>
  <si>
    <t>Default Value</t>
  </si>
  <si>
    <t>Non-negotiable Indicator</t>
  </si>
  <si>
    <t>ID Code</t>
  </si>
  <si>
    <t>Non-Negotiable</t>
  </si>
  <si>
    <t>Question Count</t>
  </si>
  <si>
    <t>Critical Indicator</t>
  </si>
  <si>
    <t>Jump To</t>
  </si>
  <si>
    <t>Privacy Score</t>
  </si>
  <si>
    <t>REQU-08</t>
  </si>
  <si>
    <t>This includes patient data, student data, employment data, human research data, financial data, etc.</t>
  </si>
  <si>
    <t>DO NOT complete the Privacy tab</t>
  </si>
  <si>
    <t>DO complete the Privacy tab</t>
  </si>
  <si>
    <t>Do you capture device information (e.g., IP address, MAC address)?</t>
  </si>
  <si>
    <t>Do you conform with a specific industry-standard privacy framework (e.g., NIST Privacy Framework, GDPR, ISO 27701)?</t>
  </si>
  <si>
    <t>Do you have any decision-making processes that are completely automated (i.e., there is no human involvement)?</t>
  </si>
  <si>
    <t/>
  </si>
  <si>
    <t>Non-Negotiable Questions</t>
  </si>
  <si>
    <t>Non-Negotiable Count</t>
  </si>
  <si>
    <t>Non-Negotiable Total</t>
  </si>
  <si>
    <t>Non-Negotiable Location</t>
  </si>
  <si>
    <t>Critical Count</t>
  </si>
  <si>
    <t>Critical Total</t>
  </si>
  <si>
    <t>Critical Location</t>
  </si>
  <si>
    <t>0</t>
  </si>
  <si>
    <t>Do you have a documented and implemented process for reporting and tracking accessibility issues?*</t>
  </si>
  <si>
    <t>Do you have an implemented third-party management strategy?*</t>
  </si>
  <si>
    <t>Will the consultant require access to the institution's network resources?*</t>
  </si>
  <si>
    <t>Has the consultant received training on (sensitive, HIPAA, PCI, etc.) data handling?*</t>
  </si>
  <si>
    <t>Are access controls for institutional accounts based on structured rules, such as role-based access control (RBAC), attribute-based access control (ABAC), or policy-based access control (PBAC)?*</t>
  </si>
  <si>
    <t>Are you using a web application firewall (WAF)?*</t>
  </si>
  <si>
    <t>Are only currently supported operating system(s), software, and libraries leveraged by the system(s)/application(s) that will have access to institution's data?*</t>
  </si>
  <si>
    <t>Does your application provide separation of duties between security administration, system administration, and standard user functions?*</t>
  </si>
  <si>
    <t>Do you subject your code to static code analysis and/or static application security testing prior to release?*</t>
  </si>
  <si>
    <t>Do you have software testing processes (dynamic or static) that are established and followed?*</t>
  </si>
  <si>
    <t>Does your solution support single sign-on (SSO) protocols for user and administrator authentication?*</t>
  </si>
  <si>
    <t>Does your organization participate in InCommon or another eduGAIN-affiliated trust federation?*</t>
  </si>
  <si>
    <t>Are you storing any passwords in plaintext?*</t>
  </si>
  <si>
    <t>Are audit logs available that include AT LEAST all of the following: login, logout, actions performed, and source IP address?*</t>
  </si>
  <si>
    <t>Will the institution be notified of major changes to your environment that could impact the institution's security posture?*</t>
  </si>
  <si>
    <t>Does the system support client customizations from one release to another?*</t>
  </si>
  <si>
    <t>Will the institution's data be stored on any devices (database servers, file servers, SAN, NAS, etc.) configured with non-RFC 1918/4193 (i.e., publicly routable) IP addresses?*</t>
  </si>
  <si>
    <t>Will the institution's data be available within the system for a period of time at the completion of this contract?*</t>
  </si>
  <si>
    <t>Are these rights retained even through a provider acquisition or bankruptcy event?*</t>
  </si>
  <si>
    <t>Do backups containing the institution's data ever leave the institution's data zone either physically or via network routing?*</t>
  </si>
  <si>
    <t>Is media used for long-term retention of business data and archival purposes stored in a secure, environmentally protected area?*</t>
  </si>
  <si>
    <t>Not scored</t>
  </si>
  <si>
    <t>Does a physical barrier fully enclose the physical space, preventing unauthorized physical contact with any of your devices?*</t>
  </si>
  <si>
    <t>Are redundant power strategies tested?*</t>
  </si>
  <si>
    <t>Are you utilizing a stateful packet inspection (SPI) firewall?*</t>
  </si>
  <si>
    <t>Do you have a documented policy for firewall change requests?*</t>
  </si>
  <si>
    <t>Do you employ host-based intrusion detection?*</t>
  </si>
  <si>
    <t>Are audit logs available for all changes to the network, firewall, IDS, and IPS systems?*</t>
  </si>
  <si>
    <t>Do you have a documented patch management process?*</t>
  </si>
  <si>
    <t>Can your organization comply with institutional policies on privacy and data protection with regard to users of institutional systems, if required?*</t>
  </si>
  <si>
    <t>Are your systems and applications scanned with an authenticated user account for vulnerabilities (that are remediated) prior to new releases?*</t>
  </si>
  <si>
    <t>Will you provide results of application and system vulnerability scans to the institution?*</t>
  </si>
  <si>
    <t>Will you allow the institution to perform its own vulnerability testing and/or scanning of your systems and/or application, provided that testing is performed at a mutually agreed upon time and date?*</t>
  </si>
  <si>
    <t>Do you have a current, executed within the past year, Attestation of Compliance (AoC) or Report on Compliance (RoC)?*</t>
  </si>
  <si>
    <t>Is the application listed as an approved Payment Application Data Security Standard (PA-DSS) application?*</t>
  </si>
  <si>
    <t>Use this area to share information about your privacy practices that will assist those who are assessing your company data privacy program.*</t>
  </si>
  <si>
    <t>If you have completed a SOC 2 audit, does it include the Privacy Trust Service Principle?</t>
  </si>
  <si>
    <t>Do you combine institutional data (including "de-identified," "anonymized," or otherwise masked data) with personal data from any other sources?*</t>
  </si>
  <si>
    <t>Do you have a privacy awareness/training program?*</t>
  </si>
  <si>
    <t>Do you share any institutional data with law enforcement without a valid warrant?*</t>
  </si>
  <si>
    <t>Have your staff completed responsible AI training?*</t>
  </si>
  <si>
    <t>Are your AI developer's policies, processes, procedures, and practices across the organization related to the mapping, measuring, and managing of AI risks conspicuously posted, unambiguous, and implemented effectively?*</t>
  </si>
  <si>
    <t>Have you identified and measured AI risks?*</t>
  </si>
  <si>
    <t>Do you authenticate and verify your ML model's feedback?*</t>
  </si>
  <si>
    <t>Have you implemented policies and procedures that guide how security risks are mitigated until patches can be applied?</t>
  </si>
  <si>
    <t>Is your company subject to the institution's geographic region's laws and regulations?*</t>
  </si>
  <si>
    <t>VPAT can also be added as an attachment</t>
  </si>
  <si>
    <t>Can the application be installed in a PCI DSS–compliant manner?</t>
  </si>
  <si>
    <t>Back to Scorecard</t>
  </si>
  <si>
    <r>
      <t>Connect</t>
    </r>
    <r>
      <rPr>
        <u/>
        <sz val="12"/>
        <color theme="10"/>
        <rFont val="Verdana"/>
        <family val="2"/>
      </rPr>
      <t xml:space="preserve"> with your higher education peers by joining the EDUCAUSE HECVAT Users Community Group</t>
    </r>
  </si>
  <si>
    <t xml:space="preserve">1. The scorecard below reflects those questions marked as "Critical Importance" or those where the "Non-Negotiable" box was checked. </t>
  </si>
  <si>
    <t xml:space="preserve">2. Use these condensed, aggregated views to review those questions that pose the highest risk. </t>
  </si>
  <si>
    <t>Analysts: Use columns G and I to override the response compliance and importance level.</t>
  </si>
  <si>
    <t>DRPV-01</t>
  </si>
  <si>
    <t>DRPV-02</t>
  </si>
  <si>
    <t>DRPV-03</t>
  </si>
  <si>
    <t>DRPV-04</t>
  </si>
  <si>
    <t>DRPV-05</t>
  </si>
  <si>
    <t>DRPV-06</t>
  </si>
  <si>
    <t>DRPV-07</t>
  </si>
  <si>
    <t>DRPV-08</t>
  </si>
  <si>
    <t>DRPV-09</t>
  </si>
  <si>
    <t>DRPV-10</t>
  </si>
  <si>
    <t>DRPV-11</t>
  </si>
  <si>
    <t>DRPV-12</t>
  </si>
  <si>
    <t>DRPV-13</t>
  </si>
  <si>
    <t>DRPV-14</t>
  </si>
  <si>
    <t>DRPV-15</t>
  </si>
  <si>
    <t>DPAI-01</t>
  </si>
  <si>
    <t>DPAI-02</t>
  </si>
  <si>
    <r>
      <t xml:space="preserve">AI </t>
    </r>
    <r>
      <rPr>
        <i/>
        <sz val="11"/>
        <color rgb="FF000000"/>
        <rFont val="Verdana"/>
        <family val="2"/>
      </rPr>
      <t>(aggregated)</t>
    </r>
  </si>
  <si>
    <r>
      <t xml:space="preserve">Privacy </t>
    </r>
    <r>
      <rPr>
        <i/>
        <sz val="11"/>
        <color rgb="FF000000"/>
        <rFont val="Verdana"/>
        <family val="2"/>
      </rPr>
      <t>(aggregated)</t>
    </r>
  </si>
  <si>
    <t>DRPV</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</si>
  <si>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</si>
  <si>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</si>
  <si>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</si>
  <si>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Do you have a dedicated information security staff or office?</t>
  </si>
  <si>
    <t>Describe any plans to create an information security office for your organization.</t>
  </si>
  <si>
    <t>Describe your information security office, including size, talents, resources, etc.</t>
  </si>
  <si>
    <t>Use this area to share information about your environment that will assist those who are assessing your company's data security program.</t>
  </si>
  <si>
    <t>Do you have a well-documented disaster recovery plan (DRP), with a clear owner, that is tested annually?*</t>
  </si>
  <si>
    <t>Provide the date of assessment and include a SOC 2 Type 2 (preferred) or SOC 3 report. If you have a SOC 3 report, state how to obtain a copy. Indicate if your hosting provider was the subject of the audit.</t>
  </si>
  <si>
    <t>Do you conform with a specific industry standard security framework (e.g., NIST Cybersecurity Framework, CIS Controls, ISO 27001, etc.)?</t>
  </si>
  <si>
    <t xml:space="preserve">Reporting and fixing accessibility issues is critical to a mature process. If the process for this question is merely a "feature request" and tracker, the answer to this question should be "no." </t>
  </si>
  <si>
    <t>What is the prioritization of accessibility issues received, and how are they tracked? Is there a regular cadence for tracking and addressing accessibility barriers?</t>
  </si>
  <si>
    <t>If specific configurations, settings, themes, author guides, or instructions are needed to ensure accessibility, are instructions on how to do so provided for administrators and end users?</t>
  </si>
  <si>
    <t>Comment on how far into the future the roadmap extends. Provide evidence (including links) of having delivered upon the accessibility roadmap in the past.</t>
  </si>
  <si>
    <t>One critical accessibility requirement is the full use of a product using only the keyboard, -no mouse or trackpad. This requirement is easy for a nontechnical or non-accessibility expert to understand and verify.</t>
  </si>
  <si>
    <t>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t>
  </si>
  <si>
    <t>Describe any feature differences between standard and accessible modes, along with any timelines or plans to merge products into a universally designed platform.</t>
  </si>
  <si>
    <t>Do you perform security assessments of third-party companies with which you share data (e.g., hosting providers, cloud services, PaaS, IaaS, SaaS)?*</t>
  </si>
  <si>
    <t>Knowing the protections and legal agreements in place for third-party data sharing may assist analysts in determininng residual risk.</t>
  </si>
  <si>
    <t>Follow-up inquiries concerning legal agreements with third parties will be institution/implementation specific.</t>
  </si>
  <si>
    <t>Do you have a process and implemented procedures for managing your hardware supply chain (e.g., telecommunications equipment, export licensing, computing devices)?</t>
  </si>
  <si>
    <t>Consultants are often used to implement, maintain, fix, and assess technology environments. In these cases, third-party consultants have access to institutional data, and appropriate access, whether remote or onsite, must be protected during the consulting engagement.</t>
  </si>
  <si>
    <t>Answer "yes" only if user AND administrator authentication is supported. If partially supported, answer "no." Ensure you respond to any guidance in the Additional Information column.</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</si>
  <si>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</si>
  <si>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Follow-up inquiries for system authentication will be unique to your institution (e.g., policy, infrastructure, etc.).</t>
  </si>
  <si>
    <t>Does your solution support any of the following web SSO standards: SAML2 (with redirect flow), OIDC, CAS, or other?</t>
  </si>
  <si>
    <t>An answer of "yes" should be well-supported in the Additional Information column, and all elements of interest should be sufficiently addressed.</t>
  </si>
  <si>
    <t>Describe any plans to support multifactor authentication in your application.</t>
  </si>
  <si>
    <t>Does your application automatically lock the session or log out an account after a period of inactivity?</t>
  </si>
  <si>
    <t>Do you have an implemented system configuration management process (e.g.,secure "gold" images, etc.)?*</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</si>
  <si>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</si>
  <si>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</si>
  <si>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</si>
  <si>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Does your change management process verify that all required third-party libraries and dependencies are still supported with each major change?</t>
  </si>
  <si>
    <t>In the context of the CIA triad, this question is focused on system integrity, ensuring that system changes are only executed by authorized users. In the event of emergency changes, accountability and post-action review are expected.</t>
  </si>
  <si>
    <t>Is the transport of sensitive data encrypted using security protocols/algorithms (e.g., system-to-client)?*</t>
  </si>
  <si>
    <t>Is the storage of sensitive data encrypted using security protocols/algorithms (e.g., disk encryption, at-rest, files, and within a running database)?*</t>
  </si>
  <si>
    <t>State plans to implement capabilities for the institution to retrieve its data.</t>
  </si>
  <si>
    <t>Are you performing off-site backups (i.e., digitally moved off site)?</t>
  </si>
  <si>
    <t>State any plans to implement off-site virtual backups in your environment.</t>
  </si>
  <si>
    <t>Summarize your off-site backup strategy.</t>
  </si>
  <si>
    <t>Follow-up inquiries for off-site, digital backups will be institution/implementation specific.</t>
  </si>
  <si>
    <t>Are physical backups taken off-site (i.e., physically moved off site)?</t>
  </si>
  <si>
    <t>State any plans to implement off-site physical backups in your environment.</t>
  </si>
  <si>
    <t>Provide the distance (in miles) between the primary and off-site locations.</t>
  </si>
  <si>
    <t>Follow-up inquiries for off-site, physical backups will be institution/implementation specific.</t>
  </si>
  <si>
    <t>Do you have a media handling process that is documented and currently implemented that meets established business needs and regulatory requirements, including end-of-life, repurposing, and data-sanitization procedures?</t>
  </si>
  <si>
    <t>Does your staff (or third party) have access to institutional data (e.g., financial, PHI, or other sensitive information) through any means?</t>
  </si>
  <si>
    <t>Do you have a cryptographic key management process (generation, exchange, storage, safeguards, use, vetting, and replacement) that is documented and currently implemented, for all system components (e.g., database, system, web, etc.)?</t>
  </si>
  <si>
    <t>Are you generally able to accommodate storing each institution's data within its geographic region?</t>
  </si>
  <si>
    <t>State plans to separate your servers from others via a physical barrier.</t>
  </si>
  <si>
    <t>Provide a detailed description of the implemented strategy (i.e.,batteries, generator).</t>
  </si>
  <si>
    <t>Installing (potential) redundant power and regularly testing strategies to ensure they will work when needed are very different. Vague responses to this question should be met with concern and appropriate follow up, based on your institution's risk tolerance.</t>
  </si>
  <si>
    <t>Installing appropriate environmental controls is crucial to maintaining the integrity of the hosting site. Vague responses to this question should be met with concern and appropriate follow up, based on your institutions risk tolerance.</t>
  </si>
  <si>
    <t>Are you using your cloud provider's available hardening tools or pre-hardened images?</t>
  </si>
  <si>
    <t>Have you implemented an intrusion detection system (network-based)?*</t>
  </si>
  <si>
    <t>Describe your plan to implement an intrusion detection system in your environment.</t>
  </si>
  <si>
    <t>Describe your plan to implement host-based intrusion detection system capabilities in your environment.</t>
  </si>
  <si>
    <t>Is authority for firewall change approval documented? Please list approver names or titles in Additional Info.</t>
  </si>
  <si>
    <t>Have you implemented an intrusion prevention system (network-based)?</t>
  </si>
  <si>
    <t>Describe your plan to implement an intrusion prevention system in your environment.</t>
  </si>
  <si>
    <t>A security program with limited resources for active prevention is inefficient. Inquiries should include training for staff, reasoning behind not using IPS technologies, and how systems are actively protected and how malicious activity is stopped.</t>
  </si>
  <si>
    <t>Describe your plan to implement host-based intrusion prevention system capabilities in your environment.</t>
  </si>
  <si>
    <t>Provide reference to the process or procedure to set up security testing times and scopes.</t>
  </si>
  <si>
    <t>Ask if there has ever been a vulnerability scan. A short lapse in external assessment validity can be understood (if there is a planned assessment), but a significant time lapse or no scan whatsoever is cause for elevated levels of concern.</t>
  </si>
  <si>
    <t>If "no," inquire if there has ever been a vulnerability scan. A short lapse in external assessment validity can be understood (if there is a planned assessment), but a significant time lapse or no scan whatsoever is cause for elevated levels of concern.</t>
  </si>
  <si>
    <t>Does the application log administrative activity, such as user account access changes and password changes, including specific user, date/time of changes, and originating IP or device?</t>
  </si>
  <si>
    <t>Include documentation describing the system's abilities to comply with the PCI DSS and any features or capabilities of the system that must be added or changed in order to operate in compliance with the standards.</t>
  </si>
  <si>
    <t>If you maintain remote access to the system, will you handle data in a FERPA-compliant manner?</t>
  </si>
  <si>
    <t>Have you had a personal data breach in the past three years that involved reporting to a governmental agency, notice to individuals (including voluntary notice), or notice to another organization or institution?*</t>
  </si>
  <si>
    <t>Describe the other sources and provide a list of elements, including any keys that connect the datasets.</t>
  </si>
  <si>
    <t>Is institutional data coming into or going out of the United States at any point during collection, processing, storage, or archiving?</t>
  </si>
  <si>
    <t>Does any part of this service/project involve a web/app tracking component (e.g., use of web-tracking pixels, cookies)?</t>
  </si>
  <si>
    <t>Does your staff (or a third party) have access to institutional data (e.g., financial, PHI, or other sensitive information) through any means?</t>
  </si>
  <si>
    <t>Summarize the access that staff (or third parties) have to institutional data.</t>
  </si>
  <si>
    <t>Are privacy principles designed into the product lifecycle (i.e., privacy-by-design)?</t>
  </si>
  <si>
    <t>Do you have a data protection officer (DPO)?</t>
  </si>
  <si>
    <t>Explain why.</t>
  </si>
  <si>
    <t>Do you provide individuals with access to their personal information for review and update (i.e., data subject rights)?</t>
  </si>
  <si>
    <t>Does your service use AI for the processing of institutional data?</t>
  </si>
  <si>
    <t>Do you have agreements in place with third parties or subprocessors regarding the protection of customer data and use of AI?*</t>
  </si>
  <si>
    <t>Will institutional data be processed through a third party or subprocessor that also uses AI?</t>
  </si>
  <si>
    <t>Do you have safeguards in place to protect institutional data and data privacy from unintended AI queries or processing?</t>
  </si>
  <si>
    <t>Looking for granular access for and ability to disable AI-related features.</t>
  </si>
  <si>
    <t>Looking for responsible AI development policies and practices.</t>
  </si>
  <si>
    <t>Looking for documentation and policies around measuring AI risk.</t>
  </si>
  <si>
    <t>Looking for harm reduction as part of responsible AI development per NIST AI RMF, page 25.</t>
  </si>
  <si>
    <t>Please describe how you validate user inputs.</t>
  </si>
  <si>
    <t>Do you plan for and mitigate supply-chain risk related to your AI features?</t>
  </si>
  <si>
    <t>Have you implemented adversarial training or other model defense mechanisms to protect your ML-related features?</t>
  </si>
  <si>
    <t>Do you make your ML model transparent through documentation and log inputs and outputs?</t>
  </si>
  <si>
    <t>Looking for the LLM tool's privileges and permissions with consideration of the principle of least privilege.</t>
  </si>
  <si>
    <t>Do you limit multiple LLM model plugins being called as part of a single input?*</t>
  </si>
  <si>
    <t>DO complete the Product and Infrastructure worksheets.</t>
  </si>
  <si>
    <t>DO NOT complete the Product and Infrastructure worksheets.</t>
  </si>
  <si>
    <t>DO complete the Consulting section in the Case-Specific worksheet.</t>
  </si>
  <si>
    <t>DO NOT complete the Consulting section in the Case-Specific worksheet.</t>
  </si>
  <si>
    <t>DO complete the Artificial Intelligence (AI) worksheet.</t>
  </si>
  <si>
    <t>DO NOT complete the Artificial Intelligence (AI) worksheet.</t>
  </si>
  <si>
    <t>DO complete the HIPAA section in the Case-Specific worksheet.</t>
  </si>
  <si>
    <t>DO NOT complete the HIPAA section in the Case-Specific worksheet.</t>
  </si>
  <si>
    <t>DO complete the PCI-DSS section in the Case-Specific worksheet.</t>
  </si>
  <si>
    <t xml:space="preserve"> On-Premises Data Solutions</t>
  </si>
  <si>
    <t>DO NOT complete the PCI-DSS section in the Case-Specific worksheet.</t>
  </si>
  <si>
    <t>1. Upon initial review, you can check the "Non-Negotiable" box by any question to compile a report of questions that may prohibit a full review.</t>
  </si>
  <si>
    <t xml:space="preserve">5. If you are evaluating a question that appears in an earlier section, the Importance and Compliant Override cannot be changed but additional notes can be added. </t>
  </si>
  <si>
    <t>INSTRUCTIONS FOR HIGH-RISK SCORECARD</t>
  </si>
  <si>
    <t>Self-Managed</t>
  </si>
  <si>
    <t>Physical Co-Location</t>
  </si>
  <si>
    <t>Virtual Co-Location</t>
  </si>
  <si>
    <t>SECURITY FRAMEWORK OPTIONS</t>
  </si>
  <si>
    <t>Have you operated without unplanned disruptions to this solution in the past 12 months?</t>
  </si>
  <si>
    <t>Share any details that would help information security analysts assess your solution.</t>
  </si>
  <si>
    <t>Does your solution have AI features, or are there plans to implement AI features in the next 12 months?</t>
  </si>
  <si>
    <t>Does your solution process protected health information (PHI) or any data covered by the Health Insurance Portability and Accountability Act (HIPAA)?</t>
  </si>
  <si>
    <t>Answer "yes" if your solution handles personal health information (PHI), either directly or via a third party.</t>
  </si>
  <si>
    <t>Answer yes if your solution handles PCI (credit card) information, either directly or via a third party.</t>
  </si>
  <si>
    <t>Does operating your solution require the institution to operate a physical or virtual appliance in their own environment or to provide inbound firewall exceptions to allow your employees to remotely administer systems in the institution's environment?</t>
  </si>
  <si>
    <t>Will your company agree to meet your stated accessibility standard or WCAG 2.1 AA as part of your contractual agreement for the solution?*</t>
  </si>
  <si>
    <t>Does the solution substantially conform to WCAG 2.1 AA?*</t>
  </si>
  <si>
    <t>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t>
  </si>
  <si>
    <t>Do you have documentation to support the accessibility features of your solution?</t>
  </si>
  <si>
    <t>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t>
  </si>
  <si>
    <t>Has a third-party expert conducted an audit of the most recent version of your solution?</t>
  </si>
  <si>
    <t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t>
  </si>
  <si>
    <t>Summarize how you ensure accessible solutions. Provide plans to develop documented processes to validate accessibility.</t>
  </si>
  <si>
    <t>Have you adopted a technical or legal standard of conformance for the solution?</t>
  </si>
  <si>
    <t>Various federal and state governments in the United States and around the world have mandated accessibility technical requirements that should be considered and may be required when selling solutions to institutions in these jurisdictions.</t>
  </si>
  <si>
    <t>Summarize your decision to not adopt a technical or legal standard of conformance for the solution.</t>
  </si>
  <si>
    <t>Please provide any plans to develop and share an accessibility roadmap in the future.</t>
  </si>
  <si>
    <t>Indicate a plan to test the solution; develop a roadmap for keyboard accessibility or any further context.</t>
  </si>
  <si>
    <t>Answer "yes" if your solution has internal limits to password complexity (max langth, certain special characters unsupported, etc.).</t>
  </si>
  <si>
    <t>Are there any passwords/passphrases hard-coded into your systems or solutions?*</t>
  </si>
  <si>
    <t>Provide a detailed description of passwords/passphrases hard-coded into your systems or solutions.</t>
  </si>
  <si>
    <t>List all supported multifactor authentication methods, technologies, and/or solutions and provide a brief summary of each.</t>
  </si>
  <si>
    <t>Provide a reference to this solution's release schedule.</t>
  </si>
  <si>
    <t>Can solution updates be completed without institutional involvement (i.e., technically or organizationally)?</t>
  </si>
  <si>
    <t>Summarize the institution's responsibilities during solution updates.</t>
  </si>
  <si>
    <t>Does the environment provide for dedicated single-tenant capabilities? If not, describe how your solution or environment separates data from different customers (e.g., logically, physically, single tenancy, multi-tenancy).</t>
  </si>
  <si>
    <t>Describe the coverage in place for this solution.</t>
  </si>
  <si>
    <t>Does the system or solutions use a third party to collect, store, process, or transmit cardholder (payment/credit/debt card) data?*</t>
  </si>
  <si>
    <t>Do your systems or solutions store, process, or transmit cardholder (payment/credit/debt card) data?</t>
  </si>
  <si>
    <t>Many systems can be used a variety of ways. We want these implementation type diagrams so that we can understand the "real" use of the solution.</t>
  </si>
  <si>
    <t>Does your solution process FERPA-related data?</t>
  </si>
  <si>
    <t>Does your solution process GDPR-related or PIPL-related data?</t>
  </si>
  <si>
    <t>Does your solution process personal data regulated by state law(s) (e.g., CCPA)?</t>
  </si>
  <si>
    <t>Does your solution process user-provided data that may contain regulated information?</t>
  </si>
  <si>
    <t>Share any details that would help data privacy analysts assess your solution.</t>
  </si>
  <si>
    <t>Does your solution leverage machine learning (ML) or do you plan to do so in the next 12 months?</t>
  </si>
  <si>
    <t>Does your solution leverage a large language model (LLM) or do you plan to do so in the next 12 months?</t>
  </si>
  <si>
    <t>Can your solution's AI features be disabled by tenant and/or user?*</t>
  </si>
  <si>
    <t>Please describe the capabilities of your solution's AI features.</t>
  </si>
  <si>
    <t>Does your solution support business rules to protect sensitive data from being ingested by the AI model?</t>
  </si>
  <si>
    <t>Looking for incident response procedure for shutting down and re-enabling model features due to a security event. Please provide the amount of time it would take to disable your solution's AI feature(s).</t>
  </si>
  <si>
    <t>Looking for incident response procedure for shutting down and re-enabling model features due to a security event. Please provide the amount of time it would take to renable your solution's AI feature(s).</t>
  </si>
  <si>
    <t>If sensitive data is introduced to your solution's AI model, can the data be removed from the AI model by request?*</t>
  </si>
  <si>
    <t>Looking for the ability to scrub sensitive insitutional data from your solution's AI model.</t>
  </si>
  <si>
    <t>Is user input data used to influence your solution's AI model?*</t>
  </si>
  <si>
    <t>Looking for protection of organizational data entered as inputs in a solution's AI feature(s).</t>
  </si>
  <si>
    <t>Do you provide logging for your solution's AI feature(s) that includes user, date, and action taken?*</t>
  </si>
  <si>
    <t>Is your ML training data vetted, validated, and verified before training the solution's AI model?</t>
  </si>
  <si>
    <t>Do you limit your solution's LLM privileges by default?*</t>
  </si>
  <si>
    <t>Is your LLM training data vetted, validated, and verified before training the solution's AI model?*</t>
  </si>
  <si>
    <t>Do any actions taken by your solution's LLM features or plugins require human intervention?*</t>
  </si>
  <si>
    <t>Do you limit your solution's LLM resource use per request, per step, and per action?</t>
  </si>
  <si>
    <t>Solution Name</t>
  </si>
  <si>
    <t>Solution Description</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</si>
  <si>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t>
  </si>
  <si>
    <t>Follow-up inquiries for solution version releases will be institution/implementation specific.</t>
  </si>
  <si>
    <t>The need for encryption in transport is unique to your institution's implementation of a system. In particular, the data flow between the system and the end users of the solution.</t>
  </si>
  <si>
    <t>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t>
  </si>
  <si>
    <t>A simple "yes" without any references or supporting information should be questioned. Question the size of institutions that are using the solution and the scope of their implementations.</t>
  </si>
  <si>
    <t>Clarify the lack of support strategy for concurrent versions in your solution.</t>
  </si>
  <si>
    <t>Do you have a technology roadmap, for at least the next two years, for enhancements and bug fixes for the solution being assessed?</t>
  </si>
  <si>
    <t>Have you performed a Data Privacy Impact Assesssment for the solution/project?</t>
  </si>
  <si>
    <t>Inquire about any planned improvements to these capabilities. Ask about their product roadmap, and try to understand how they prioritize security concerns in their environment.</t>
  </si>
  <si>
    <t>Do all cryptographic modules in use in your solution conform to the Federal Information Processing Standards (FIPS PUB 140-2 or 140-3)?*</t>
  </si>
  <si>
    <t>Describe how long your organization has conducted business in this area.</t>
  </si>
  <si>
    <t>Determines where solution provider employees will be physically located.</t>
  </si>
  <si>
    <t>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t>
  </si>
  <si>
    <t>Follow-up inquiries for solution provider team strategies will be unique to your institution and may depend on the underlying infrastructures needed to support a system for your specific use case.</t>
  </si>
  <si>
    <t>Follow-up responses to this one are normally unique to their response. Vague answers here usually result in some footprinting of a solution provider to determine their "reputation."</t>
  </si>
  <si>
    <t>We want transparency from the solution provider, and an honest answer to this question, regardless of the response, is a good step in building trust.</t>
  </si>
  <si>
    <t>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t>
  </si>
  <si>
    <t>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</si>
  <si>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solution provider state their case. If a solution provider does not add anything here (or it is just sales stuff), we can assume it was filled out by a sales engineer and questions will be evaluated with higher scrutiny.</t>
  </si>
  <si>
    <t>The details of the standard are not the focus here; it is the fact that a solution provider builds their environment around a standard and that they continually evaluate and assess their security programs.</t>
  </si>
  <si>
    <t>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t>
  </si>
  <si>
    <t>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t>
  </si>
  <si>
    <t>Inquire about any privacy language the solution provider may have. It may not be ideal but there may be something available to assess or enough to have your legal counsel or policy/privacy professionals review.</t>
  </si>
  <si>
    <t>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t>
  </si>
  <si>
    <t>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t>
  </si>
  <si>
    <t>Unsatisfactory answers should be met with questions about access control authority, roles and responsibilities (of access grantors), administrative privileges within the solution provider's infrastructure(s), etc.</t>
  </si>
  <si>
    <t>If REQU-02 is no, populate solution provider answer with cell b3 in Auto Responses worksheet</t>
  </si>
  <si>
    <t>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t>
  </si>
  <si>
    <t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t>
  </si>
  <si>
    <t>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t>
  </si>
  <si>
    <t>If no roadmap is available, seek additional information from the solution provider such as release notes that address accessibility and any feedback from users that address the accessibility of the solution.</t>
  </si>
  <si>
    <t>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t>
  </si>
  <si>
    <t>This question is designed to understand how accessibility is included in new versions and features of solutions, particularly with solution providers that implement Agile or similar methodologies where software is updated frequently and continuously.</t>
  </si>
  <si>
    <t>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t>
  </si>
  <si>
    <t>Follow up with a robust question set if the solution provider cannot clearly state full control of the integrity of their system(s). Questions about administrator access on end-user devices and other maintenance and patching type questions are appropriate.</t>
  </si>
  <si>
    <t>Robust answers from the solution provider improve the quality and efficiency of the security assessment process.</t>
  </si>
  <si>
    <t>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</si>
  <si>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t>
  </si>
  <si>
    <t>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</si>
  <si>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If REQU-03 is no, populate solution provider answer with b4 in Auto Responses tab</t>
  </si>
  <si>
    <t>If REQU-01 is no, populate solution provider answer with B2 in Auto Responses tab</t>
  </si>
  <si>
    <t>Ask the solution provider to summarize the best practices to restrict/control the access given to the institution's end users without the use of RBAC. Make sure to understand the administrative requirements/overhead introduced in the solution provider's environment.</t>
  </si>
  <si>
    <t>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t>
  </si>
  <si>
    <t>If a solution provider states that they outsource their code development and do not run a WAF, there is elevated reason for concern. Verify how code is tested, monitored, and controlled in production environments.</t>
  </si>
  <si>
    <t>Follow-up inquiries for operating systems leveraged by the solution provider will be institution/implementation specific.</t>
  </si>
  <si>
    <t>Ask the solution provider about the need for this requirement, and understand any mitigation strategies that may be possible.</t>
  </si>
  <si>
    <t>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t>
  </si>
  <si>
    <t>Ask the solution provider to summarize their best practices for securing their system(s) administratively without the use of RBAC. Make sure to understand the administrative requirements/overhead introduced in the solution provider's environment.</t>
  </si>
  <si>
    <t>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t>
  </si>
  <si>
    <t>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t>
  </si>
  <si>
    <t>Code analysis (prior to implementation) can decrease the number of vulnerabilities within a system. Depending on the insight a solution provider has into their code, code testing should be expected.</t>
  </si>
  <si>
    <t>If software testing processes are not established and followed, point the solution provider to OWASP's Testing Guide &lt;https://www.owasp.org/index.php/OWASP_Testing_Guide_v4_Table_of_Contents&gt;.</t>
  </si>
  <si>
    <t>Managing a solution may rely on various professionals to administer a system. This question is focused on how administration, and the segregation of functions, is implemented within the solution provider's infrastructure.</t>
  </si>
  <si>
    <t>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</si>
  <si>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</si>
  <si>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t>
  </si>
  <si>
    <t>If information security principles are not designed into the product lifecycle, point the solution provider to OWASP's Secure Coding Practices - Quick Reference Guide &lt;https://www.owasp.org/index.php/OWASP_Secure_Coding_Practices_-_Quick_Reference_Guide&gt;.</t>
  </si>
  <si>
    <t>Ask the solution provider why this deployment strategy is used. Ask if it is a restriction of the app store platform or some other environment restriction.</t>
  </si>
  <si>
    <t>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</si>
  <si>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</si>
  <si>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Ask the solution provider how end users will be supported. Ask for training documentation or knowledgebase content. Confirm solution provider and institution responsibilities in this support area (and others).</t>
  </si>
  <si>
    <t>This question defines the solution provider's scope of federated identity practices and their willingness to embrace higher education requirements.</t>
  </si>
  <si>
    <t>If a solution provider indicates that a system is stand-alone and cannot integrate with community standards, follow up with maturity questions and ask about other commodity type functions or other system requirements your institution may have.</t>
  </si>
  <si>
    <t>The response to this question can reveal the use (or not) of coding best practices. If passwords/passphrases are hard-coded into systems/productions, the solution provider should provide robust details supporting why this is required.</t>
  </si>
  <si>
    <t>Vague responses to this question should be met with concern. Repeat the question if the first answer is insufficient. Ask pointedly to ensure the solution provider is not misunderstanding.</t>
  </si>
  <si>
    <t>If a weak response is given, it is appropriate to ask directed questions to get specific information. Ensure that questions are targeted to ensure responses will come from the appropriate party within the solution provider.</t>
  </si>
  <si>
    <t>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t>
  </si>
  <si>
    <t>If a solution provider indicates that a system is stand-alone and cannot integrate with the institution's infrastructure, follow up with maturity questions and ask about other commodity type functions or other system requirements your institution may have.</t>
  </si>
  <si>
    <t>This questions allows an institution to know solution provider system limitations and to help them gauge the resources (that may be needed to implement) required to successfully integrate the solution with institution systems.</t>
  </si>
  <si>
    <t>Ask the solution provider about hardware and software options, future roadmap for implementations and support, etc.</t>
  </si>
  <si>
    <t>If the solution provider's response does not cover the details outlined in the reasoning, follow up and get specific responses for each, as needed.</t>
  </si>
  <si>
    <t>The solution provider's solution characteristics and the institution's use case will determine the relevancy of this question. The purpose of this question is to understand the underlying infrastructure and how it is maintained across all customers.</t>
  </si>
  <si>
    <t>In cases where the solution is customized for customer use cases, ensure the solution provider's response covers all aspects of code migration, including backups, data conversions, local resources from the institution, etc., as it relates to code upgrades and/or version adoptions.</t>
  </si>
  <si>
    <t>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t>
  </si>
  <si>
    <t>If the solution provider's response does not cover the details outlined in the reasoning, follow up and get specific responses, as needed.</t>
  </si>
  <si>
    <t>This question is fundamentally about supply chain. The solution provider should be able to document its procedures around tracking libraries maintained by third parties.</t>
  </si>
  <si>
    <t>If the solution provider's response does not cover the details outlined in the reasoning, follow-up and get specific responses for each, as needed.</t>
  </si>
  <si>
    <t>Answers to this question will reveal the solution provider’s knowledge of their IT assets and their ability to respond to notifications about their systems and software.</t>
  </si>
  <si>
    <t>Follow-up inquiries for the solution provider’s patching practices will be institution/implementation specific.</t>
  </si>
  <si>
    <t>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t>
  </si>
  <si>
    <t>Follow-up inquiries for the solution providers patching practices will be institution/implementation specific.</t>
  </si>
  <si>
    <t>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t>
  </si>
  <si>
    <t>Supporting multiple versions of a solution is challenging. Understanding the solution provider’s strategy and resources will provide insight into its ability to adequately support their customers.</t>
  </si>
  <si>
    <t>Follow-up inquiries for the solution provider’s support of concurrent versions will be institution/implementation specific.</t>
  </si>
  <si>
    <t>Answers to this question will reveal the solution provider’s ability to plan in the short term. This is valuable information for customers so they can anticipate updates and potential bug fixes.</t>
  </si>
  <si>
    <t>Follow-up inquiries for the solution provider’s solution update practices will be institution/implementation specific.</t>
  </si>
  <si>
    <t>Answers to this question will reveal the solution provider’s ability to plan for the future of their solution.</t>
  </si>
  <si>
    <t>Follow-up inquiries for the solution provider’s technology planning practices will be institution/implementation specific.</t>
  </si>
  <si>
    <t>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t>
  </si>
  <si>
    <t>Follow up with a robust question set if a solution provider cannot clearly state full control of the integrity of their system(s).</t>
  </si>
  <si>
    <t>Ask the solution provider about its infrastructure and if there is a solution that eliminates the need for this environment.</t>
  </si>
  <si>
    <t>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t>
  </si>
  <si>
    <t>If the solution provider cannot accommodate open standards encryption requirements, direct them to NIST's Cryptographic Standards and Guidelines document &lt;https://csrc.nist.gov/Projects/Cryptographic-Standards-and-Guidelines&gt;.</t>
  </si>
  <si>
    <t>When cancelling a solution, an institution will commonly want all institutional data that was provided to a solution provider. This questions allows the solution provider to state their general practices when a customer leaves their environment.</t>
  </si>
  <si>
    <t>A solution provider's response should be clear and concise. Be wary of vague responses to this questions and inquire about export specifics, as needed.</t>
  </si>
  <si>
    <t>If a solution provider's response is unsatisfactory, engage institutional counsel to appropriately address any ownership concerns.</t>
  </si>
  <si>
    <t>When cancelling a solution, an institution will commonly want all institutional data that was provided to a solution provider. This question allows the solution provider to state its general practices when a customer leaves its environment.</t>
  </si>
  <si>
    <t>When cancelling a solution, an institution will commonly want all institutional data that was provided to a solution provider. The solution provider's response should verify if the institution can extract data or if it is a manual extraction by solution provider staff.</t>
  </si>
  <si>
    <t>The purpose of this question is to define the scope of backup operations and the scope at which a solution provider may readily recover when backup restoration is required.</t>
  </si>
  <si>
    <t>When data is moved digitally (e.g., cloud provider, solution provider-owned facility, etc.) off-site, the policies and implemented procedures are important to know. The protections implemented to prevent compromise will be technical in nature and should be well-documented.</t>
  </si>
  <si>
    <t>Confidentiality is the focus of this question. Based on the capabilities of solution provider administrators, the institution may require additional safeguards to protect the confidentiality of data stored by or shared with a solution provider (e.g., additional layer of encryption, etc.).</t>
  </si>
  <si>
    <t>If institutional data is visible by the solution provider's system administrators, follow up with the solution provider to understand the scope of visibility, process/procedure that administrators follow, and use cases when administrators are allowed to access (view) institutional data.</t>
  </si>
  <si>
    <t>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t>
  </si>
  <si>
    <t>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t>
  </si>
  <si>
    <t>An institution's use case will drive the requirements for backup strategy. Ensure that the institution's use case and risk tolerance can be met by solution provider systems.</t>
  </si>
  <si>
    <t>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t>
  </si>
  <si>
    <t>Follow up with the solution provider to ensure that all components of the system are considered. This includes system-to-system, system-to-client, applications, system accounts, etc.</t>
  </si>
  <si>
    <t>If/then: If Self-managed, populate the solution provider answer for questions DCTR 02, 08, 16-18 with cell B25 in the Auto Responses sheet; If Physical co-location, populate solution provider answer for  DCTR 02-15 with B25; if Virtual Co-location, populate solution provider answer for DCTR 02-04, 07-08, 10, 16-18 with B25; If AWS, Azure, or GCP, populate 03, 07-08, 10, 16-18 with B25; if Other populate DCTR 02-03, 07-08, 10 with B25</t>
  </si>
  <si>
    <t>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t>
  </si>
  <si>
    <t>Follow-up inquiries for additional solution provider's SOC 2 Type 2 reports will be institution/implementation specific.</t>
  </si>
  <si>
    <t>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t>
  </si>
  <si>
    <t>If a solution provider is unable to accommodate storing/processing institutional data within specific regions, ask them why they are unable to. Try to determine if it's an infrastructure issue (scalability), a cost-reduction strategy (size/maturity), or some other issue.</t>
  </si>
  <si>
    <t>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t>
  </si>
  <si>
    <t>When planning for business continuity and disaster recovery, considering geographic diversity of a solution provider's operating environment will help analysts better understand risk due to widespread technical issues as well as weather and environmental considerations.</t>
  </si>
  <si>
    <t>The weight placed on the solution provider's response will be specific to the institution's use case and solution requirements.</t>
  </si>
  <si>
    <t>Ask the solution provider about their system lifecycle practices and security methodology.</t>
  </si>
  <si>
    <t>Does your cloud solution provider have access to your encryption keys?</t>
  </si>
  <si>
    <t>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t>
  </si>
  <si>
    <t>Ask the solution provider to summarize why host-based intrusion detection tools are not implemented in their environment. What compensating controls are in place to detect configuration changes and/or failures of integrity?</t>
  </si>
  <si>
    <t>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t>
  </si>
  <si>
    <t>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t>
  </si>
  <si>
    <t>Ask the solution provider to summarize why host-based intrusion prevention tools are not implemented in their environment. What compensating controls are in place to detect malicious activity and to actively prevent its function?</t>
  </si>
  <si>
    <t>This question is primarily focused on determining the maturity of a solution provider's security program and their ability to implement and operate cutting-edge technologies. Investment in advanced technologies may indicate appropriate security program capabilities.</t>
  </si>
  <si>
    <t>This question is primarily focused on the capability of a solution provider's security program. Understanding the size and skillsets of a solution provider (taken from other responses) is needed to determine the appropriateness of the solution provider's response to this question.</t>
  </si>
  <si>
    <t>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t>
  </si>
  <si>
    <t>In the context of the CIA triad, this question is focused on system integrity, ensuring that system changes are only executed according to policy. Additionally, it is expected that devices used to access the solution provider's systems are properly managed and secured.</t>
  </si>
  <si>
    <t>Follow up with a robust question set if the solution provider cannot clearly state full control of their system patching strategy. Questions about patch testing, testing environments, threat mitigation, incident remediation, etc., are appropriate.</t>
  </si>
  <si>
    <t>This is a general inquiry to determine if the solution provider has reviewed the institution's policies and is committed to complying with them.</t>
  </si>
  <si>
    <t>If a solution provider is vague in their response, follow up with direct questions about the institution's policies and ensure the expectation of compliance is clear with the solution provider.</t>
  </si>
  <si>
    <t>This is a general inquiry to determine if the solution provider is well-versed in applicable laws and regulations that apply in the institution's region of business operation.</t>
  </si>
  <si>
    <t>If a solution provider is vague in their response, follow up with direct questions about doing business in your state/region/country and any laws that are pertinent to the institution.</t>
  </si>
  <si>
    <t>Mature solution lifecycle management can position a solution provider to sufficiently plan, implement, and manage systems that better protect institutional data.</t>
  </si>
  <si>
    <t>Although withdrawn by NIST, the Security Considerations in the Systems Development Life Cycle (SP 800-64r2) document is an excellent resource to provide guidance to solution providers (i.e., set expectations). Follow-up questions to SDLC use will be institution/implementation specific.</t>
  </si>
  <si>
    <t>The use of detective and preventive controls in the hiring process serves a valuable role in protecting institutional data. As these are often HR documented policies, a solution provider should have their practices well-documented and ready for review, upon request.</t>
  </si>
  <si>
    <t>Ask the solution provider if background checks and/or screening are conducted in any capacity, at any time during the employment period. Ask about the precautions they take to ensure the intellectual property is secured and inquire if user data is treated in an appropriate manner.</t>
  </si>
  <si>
    <t>If a solution provider's practices are not clear, inquire about training requirements for employees, especially the frequency and scope of content.</t>
  </si>
  <si>
    <t>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t>
  </si>
  <si>
    <t>If the solution provider does not have an incident response plan, point them to the NIST Computer Security Incident Handling Guide &lt;https://csrc.nist.gov/publications/detail/sp/800-61/rev-2/final&gt;.</t>
  </si>
  <si>
    <t>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</si>
  <si>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</si>
  <si>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This question aims to understand the physical security state of the solution provider's operating environment and whether or not physical assets are appropriately protected.</t>
  </si>
  <si>
    <t>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t>
  </si>
  <si>
    <t>If the solution provider does not have an incident response plan, direct them to the NIST Computer Security Incident Handling Guide &lt;https://csrc.nist.gov/publications/detail/sp/800-61/rev-2/final&gt;.</t>
  </si>
  <si>
    <t>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</si>
  <si>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The incident team structure (internal vs. external), size, and capabilities of a solution provider have a significant impact on their ability to respond to and protect an institution's data. Use the knowledge of this response when evaluating other solution provider statements.</t>
  </si>
  <si>
    <t>If the solution provider does not have an incident response team, direct them to the NIST Computer Security Incident Handling Guide &lt;https://csrc.nist.gov/publications/detail/sp/800-61/rev-2/final&gt;.</t>
  </si>
  <si>
    <t>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t>
  </si>
  <si>
    <t>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</si>
  <si>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Ask if there are plans to implement these processes. Ask the solution provider to summarize their decision behind not scanning their applications for vulnerabilities prior to release.</t>
  </si>
  <si>
    <t>If a solution provider is scanning its applications and/or systems, oftentimes an institution will want to review the report, if possible. Preferably, any finding on the reports will have a matching mitigation action.</t>
  </si>
  <si>
    <t>If a solution provider is hesitant to share the report, ask for a summarized version; some insight is better than none.</t>
  </si>
  <si>
    <t>Many higher education institutions are capable of performing vulnerability assessments and/or penetration testing on their solution providers' infrastructures. This question confirms the possibility of conducting these actions against the solution provider's infrastructure.</t>
  </si>
  <si>
    <t>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</si>
  <si>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t>
  </si>
  <si>
    <t>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</si>
  <si>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REQU-05 is no, populate solution provider answer with B6 in Auto Responses tab</t>
  </si>
  <si>
    <t>Do accounts used for solution provider-supplied remote support abide by the same authentication policies and access logging as the rest of the system?</t>
  </si>
  <si>
    <t>If REQU-06 is no, populate solution provider answer with B7 in Auto Responses tab</t>
  </si>
  <si>
    <t>If REQU-07 is no, populate solution provider answer with B8 in Auto Responses tab</t>
  </si>
  <si>
    <t>Ask the solution provider to summarize the best practices for securing their system(s) administratively without the use of RBAC. Make sure to understand the administrative requirements/overhead introduced in the solution provider's environment.</t>
  </si>
  <si>
    <t>Ask the solution provider to summarize the reasoning behind this business process and request additional documentation that outlines the security controls implemented to safeguard institutional data.</t>
  </si>
  <si>
    <t>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t>
  </si>
  <si>
    <t>If a weak response is given to this answer, it is appropriate to ask directed answers to get specific information. Ensure that questions are targeted to ensure responses will come from the appropriate party within the solution provider.</t>
  </si>
  <si>
    <t>Standard documentation question. With an on-premise device, the possibility to tie-in with existing monitoring/management systems is beneficial. The solution provider's response should be clear and concise.</t>
  </si>
  <si>
    <t>This question is primarily focused on system(s) integrity and confidentiality. The solution provider's response should clearly state the system(s) capabilities to properly monitor for (and alert for) malicious activity.</t>
  </si>
  <si>
    <t>We want to establish longevity of a solution and whether or not a solution provider is new to the higher education space.</t>
  </si>
  <si>
    <t>Normally a solution provider will state their overall longevity but not talk about the software/service/product under evaluation. Follow-ups includes specific questions about the origins of the software/service/product and references will be requested.</t>
  </si>
  <si>
    <t>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t>
  </si>
  <si>
    <t>If REQU-04 is no, populate solution provider answer with B5 in Auto Responses tab</t>
  </si>
  <si>
    <t>If REQU-04 is no, populate solution provider answer with B5 in Auto Responses tab; If AIQU-01 is no, populate with B9</t>
  </si>
  <si>
    <t>If REQU-04 is no, populate solution provider answer with B5 in Auto Responses tab; If AIQU-02 is no, populate with B10</t>
  </si>
  <si>
    <t>If REQU-04 is no, populate solution provider answer with B5 in Auto Responses tab; If AIQU-02 is no, populate with B9</t>
  </si>
  <si>
    <r>
      <t xml:space="preserve">HECVAT Solution Provider Response - </t>
    </r>
    <r>
      <rPr>
        <b/>
        <i/>
        <sz val="20"/>
        <color theme="0"/>
        <rFont val="Verdana"/>
        <family val="2"/>
      </rPr>
      <t>Product</t>
    </r>
  </si>
  <si>
    <r>
      <t xml:space="preserve">HECVAT Solution Provider Response - </t>
    </r>
    <r>
      <rPr>
        <b/>
        <i/>
        <sz val="20"/>
        <color theme="0"/>
        <rFont val="Verdana"/>
        <family val="2"/>
      </rPr>
      <t>Infrastructure</t>
    </r>
  </si>
  <si>
    <r>
      <t xml:space="preserve">HECVAT Solution Provider Response - </t>
    </r>
    <r>
      <rPr>
        <b/>
        <i/>
        <sz val="20"/>
        <color theme="0"/>
        <rFont val="Verdana"/>
        <family val="2"/>
      </rPr>
      <t>IT Accessibility</t>
    </r>
  </si>
  <si>
    <r>
      <t xml:space="preserve">HECVAT Solution Provider Response - </t>
    </r>
    <r>
      <rPr>
        <b/>
        <i/>
        <sz val="20"/>
        <color theme="0"/>
        <rFont val="Verdana"/>
        <family val="2"/>
      </rPr>
      <t>Case-Specific</t>
    </r>
    <r>
      <rPr>
        <b/>
        <sz val="20"/>
        <color theme="0"/>
        <rFont val="Verdana"/>
        <family val="2"/>
      </rPr>
      <t xml:space="preserve"> </t>
    </r>
    <r>
      <rPr>
        <b/>
        <i/>
        <sz val="20"/>
        <color theme="0"/>
        <rFont val="Verdana"/>
        <family val="2"/>
      </rPr>
      <t>Questions</t>
    </r>
  </si>
  <si>
    <r>
      <t>HECVAT Solution Provider Response -</t>
    </r>
    <r>
      <rPr>
        <b/>
        <i/>
        <sz val="20"/>
        <color theme="0"/>
        <rFont val="Verdana"/>
        <family val="2"/>
      </rPr>
      <t xml:space="preserve"> AI</t>
    </r>
  </si>
  <si>
    <r>
      <t xml:space="preserve">HECVAT Solution Provider Response - </t>
    </r>
    <r>
      <rPr>
        <b/>
        <i/>
        <sz val="20"/>
        <color theme="0"/>
        <rFont val="Verdana"/>
        <family val="2"/>
      </rPr>
      <t>Privacy</t>
    </r>
  </si>
  <si>
    <t>Solution Provider Name</t>
  </si>
  <si>
    <t>Solution Provider Contact Name</t>
  </si>
  <si>
    <t>Solution Provider Contact Title</t>
  </si>
  <si>
    <t>Solution Provider Contact Email</t>
  </si>
  <si>
    <t>Solution Provider Contact Phone Number</t>
  </si>
  <si>
    <t>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t>
  </si>
  <si>
    <t>Solution Provider Accessibility Contact Name</t>
  </si>
  <si>
    <t>Solution Provider Accessibility Contact Title</t>
  </si>
  <si>
    <t>Solution Provider Accessibility Contact Email</t>
  </si>
  <si>
    <t>Solution Provider Accessibility Contact Phone Number</t>
  </si>
  <si>
    <t>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t>
  </si>
  <si>
    <t>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</si>
  <si>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t>
  </si>
  <si>
    <t>Solution Providers that operate their own datacenter(s) can implement their own monitoring strategy. Use the solution provider's response to this questions to verify/validate other responses related to ownership/co-location/physical security.</t>
  </si>
  <si>
    <t>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t>
  </si>
  <si>
    <t>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</si>
  <si>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</si>
  <si>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</si>
  <si>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</si>
  <si>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List each third party and why institutional data is shared with them. Format example: [Third Party Name] - Reason</t>
  </si>
  <si>
    <t>This includes any interface for end users and interfaces used by administrators at the institution.</t>
  </si>
  <si>
    <t>Instructions for High-Risk Scorecard</t>
  </si>
  <si>
    <t>Based on the response to AIPL-03, this question does not apply to this product or service.</t>
  </si>
  <si>
    <t>* Denotes critical questions. Critical questions are those deemed most important to institutions by higher education volunteers.</t>
  </si>
  <si>
    <t>3. For questions that are qualitative or for which you disagree with the preferred response, make a selection in the "Compliant Override" dropdown to adjust the question's impact on the score.</t>
  </si>
  <si>
    <t>DO complete the On-Premises Data Solutions section in the Case-Specific worksheet.</t>
  </si>
  <si>
    <t>DO NOT complete the On-Premises Data Solutions section in the Case-Specific worksheet.</t>
  </si>
  <si>
    <t xml:space="preserve">4. Each worksheet shows a report for that section. See the "Analyst Report" sheet for a full report of all sections. </t>
  </si>
  <si>
    <t>5. Return the completed file to institutions.</t>
  </si>
  <si>
    <t>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t>
  </si>
  <si>
    <t>This information defines the scale of company (support, resources, skillsets), general information about the organization that may be concerning.</t>
  </si>
  <si>
    <t>Does your product or service have an interface?</t>
  </si>
  <si>
    <t>Is the solution designed to process, store, or transmit credit card information?</t>
  </si>
  <si>
    <r>
      <t>Do you have a well-documented business continuity plan (BCP), with a clear owner, that is tested annually?</t>
    </r>
    <r>
      <rPr>
        <sz val="11"/>
        <color rgb="FFFF0000"/>
        <rFont val="Arial"/>
        <family val="2"/>
      </rPr>
      <t>*</t>
    </r>
  </si>
  <si>
    <t>SSAE 18 and SOC2 audits are standard documentation, relevant to institutions requiring a solution provider to undergo SSAE 18 audits.</t>
  </si>
  <si>
    <t>Has a VPAT or ACR been created or updated for the solution and version under consideration within the past 12 months?*</t>
  </si>
  <si>
    <t>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t>
  </si>
  <si>
    <t>Cross-reference Accessibility Conformance Reports (ACR) with any answers from ITAC-14 about product roadmaps for accessibility improvements.</t>
  </si>
  <si>
    <t>If claims are made about accessibility and there is no supporting documentation on how they can be achieved, ensure that intended configurations and uses of the product in question were assessed for any accessibility documentation or claims.</t>
  </si>
  <si>
    <t>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t>
  </si>
  <si>
    <t>A detailed accessibility roadmap should reference improvements and progress on known accessibility issues as appropriate but does not necessarily need to list unreleased product features.</t>
  </si>
  <si>
    <t>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t>
  </si>
  <si>
    <t>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t>
  </si>
  <si>
    <t>Do you have contractual language in place with third parties governing access to institutional data?*</t>
  </si>
  <si>
    <t>Do the contracts in place with these third parties address liability in the event of a data breach?*</t>
  </si>
  <si>
    <t>Is the data encrypted (at rest) while in the consultant's possession?*</t>
  </si>
  <si>
    <t>Can you provide the institution documentation regarding the retention period for those logs, how logs are protected, and whether they are accessible to the customer (and if so, how)?*</t>
  </si>
  <si>
    <t>Ensure that all elements of AAAI-10 are clearly stated in your response.</t>
  </si>
  <si>
    <t>Indicate all procedures that are implemented in your change management process. (a) An impact analysis of the upgrade is performed. (b) The change is appropriately authorized. (c) Changes are made first in a test environment. (d) The ability to implement the upgrades/changes in the production environment is limited to appropriate IT personnel.</t>
  </si>
  <si>
    <t>Do you regularly scan for common web application security vulnerabilities (e.g., SQL injection, XSS, XSRF, etc.)?</t>
  </si>
  <si>
    <t>Have you entered into a Business Associate Agreements with all subcontractors who may have access to protected health information (PHI)?*</t>
  </si>
  <si>
    <t>Have you conducted a risk analysis as required under the HIPAA Security Rule?</t>
  </si>
  <si>
    <t>Are you on the list of Visa approved service providers?</t>
  </si>
  <si>
    <t>This is standard documentation, relevant to institution implementations requiring FERPA compliance.</t>
  </si>
  <si>
    <t xml:space="preserve">SOC 2 Type 2 audits can be conducted for any or all of five trust principles (confidentiality, integrity, availability, security, and privacy). Answer "yes" if your audit included the privacy principle. </t>
  </si>
  <si>
    <t>Do you have contractual agreements with third parties that require them to maintain standards and to comply with all regulatory requirements?*</t>
  </si>
  <si>
    <t>Does your solution have an AI risk model when developing or implementing your solution's AI model?*</t>
  </si>
  <si>
    <t>In the event of an incident, can your solution's AI features be disabled in a timely manner?*</t>
  </si>
  <si>
    <t>If disabled because of an incident, can your solution's AI features be re-enabled in a timely manner?*</t>
  </si>
  <si>
    <t>Do you have documented technical and procedural processes to address potential negative impacts of AI as described by the AI Risk Management Framework (RMF)?</t>
  </si>
  <si>
    <t>Looking for how the solution is checked for input anomalies, patterns, and malicious input rejection.</t>
  </si>
  <si>
    <t xml:space="preserve"> Authentication, Authorization, and Account Management</t>
  </si>
  <si>
    <t xml:space="preserve">HIPAA Compliance </t>
  </si>
  <si>
    <t>Do your workforce members receive regular training related to the Health Insurance Portability and Accountability Act (HIPAA) Privacy and Security Rules and the HITECH Act?*</t>
  </si>
  <si>
    <t>Question Auto-Response</t>
  </si>
  <si>
    <t>Based on the response to AAAI-01, this question does not apply to this product or service.</t>
  </si>
  <si>
    <t>The use case, vendor infrastructure, and types of services offered will greatly affect the need for various firewalling devices. The focus of this question is integrity, ensuring that the systems hosting institutional data are limited in need-only communications.</t>
  </si>
  <si>
    <t>Follow-up inquiries for firewall capabilities will be institution/implementation specific.</t>
  </si>
  <si>
    <t>This sheet provides additional context on each questions for analysts at institutions. In most cases, you will find a reason for each question as well as follow-up inquiries that may be helpful.</t>
  </si>
  <si>
    <t xml:space="preserve">Use the "find" feature (CTRL+F on a PC or Command+F on a Mac) to search for a question code </t>
  </si>
  <si>
    <t>To be added in a later version</t>
  </si>
  <si>
    <t xml:space="preserve">Cells contained in this worksheet may contain cells with dropdown lists as well as autopopulated formulas. </t>
  </si>
  <si>
    <t>End Table Data</t>
  </si>
  <si>
    <t xml:space="preserve">End of worksheet </t>
  </si>
  <si>
    <t xml:space="preserve">There are cells within this worksheet are auto populated from the previous worksheets and drop down lists. </t>
  </si>
  <si>
    <t xml:space="preserve">There are cells within this worksheet are auto populated from multiple worksheets in the workbook, and drop down lists. </t>
  </si>
  <si>
    <t xml:space="preserve">The cells within this worksheet contain questions, the reason for the question, and follow-up inquiries/responses </t>
  </si>
  <si>
    <t xml:space="preserve">End Table Data </t>
  </si>
  <si>
    <t xml:space="preserve">This worksheet contains Auto-Responses that auto-populate the other worksheets and the context for when they are used. </t>
  </si>
  <si>
    <t xml:space="preserve">This worksheet is auto-populated with data taken from previous worksheets. </t>
  </si>
  <si>
    <t xml:space="preserve">End of workbook </t>
  </si>
  <si>
    <t xml:space="preserve">This worksheet is a combination of cells that are autopopulated as well as ones to be filled in. </t>
  </si>
  <si>
    <t>Is a SOC 2 Type 2 report available for the hosting environment?</t>
  </si>
  <si>
    <t>Do you require multifactor authentication for all administrative accounts in your environment?</t>
  </si>
  <si>
    <t>Have the relevant policies/plans been tested?*</t>
  </si>
  <si>
    <t>Can access be restricted based on source IP address?*</t>
  </si>
  <si>
    <t>Have you identified areas of risk?*</t>
  </si>
  <si>
    <t>Are your servers separated from other companies via a physical barrier, such as a cage or hard walls?</t>
  </si>
  <si>
    <t>Does the process described in DATA-15 adhere to DoD 5220.22-M and/or NIST SP 800-88 standards?</t>
  </si>
  <si>
    <t>Does your solution have access to personal or institutional data?</t>
  </si>
  <si>
    <t xml:space="preserve">Note: The "Organization" tab is required for ALL products and services. </t>
  </si>
  <si>
    <t>(Will reflect across applicable tabs)</t>
  </si>
  <si>
    <t>For full instructions, please visit EDUCAUSE.edu/HECVAT</t>
  </si>
  <si>
    <t>For full instructions, please visit educause.edu/HECVAT</t>
  </si>
  <si>
    <t>Does the center where the data will reside have cooling and fire-suppression systems that are active and regularly tested?</t>
  </si>
  <si>
    <t>2. Complete the "Organization" tab and the applicable questions in each of the next 5 tabs (Product through Privacy) that apply, based on your answers to the "Required Questions."</t>
  </si>
  <si>
    <t>Ensure that all elements of AAAI-11 are clearly stated in your response.</t>
  </si>
  <si>
    <t>Do you separate ML training data from your ML solution data?*</t>
  </si>
  <si>
    <t>Do you collect, process, or store demographic information?*</t>
  </si>
  <si>
    <t>Do you capture or create genetic, biometric, or behaviometric information (e.g.,  facial recognition or fingerprints)?*</t>
  </si>
  <si>
    <t>Do you collect personal information only for the purpose(s) identified in the agreement with an institution or, if there is none, the purpose(s) identified in the privacy notice?</t>
  </si>
  <si>
    <t>Do you disclose personal information to third parties only for the purpose(s) identified in the privacy notice or with the implicit or explicit consent of the individual?</t>
  </si>
  <si>
    <t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t>
  </si>
  <si>
    <t>Do you maintain accurate, complete, and relevant personal information for the purposes identified in the privacy notice?</t>
  </si>
  <si>
    <t>HECVAT Institution Evaluation - High Risk</t>
  </si>
  <si>
    <t>HECVAT Institution Evaluation - Privacy</t>
  </si>
  <si>
    <t>HECVAT Analyst Report - Privacy</t>
  </si>
  <si>
    <t>The answer to this question indicates if the "Product" and "Infrastructure" tabs are required</t>
  </si>
  <si>
    <t>The answer to this question indicates if the "IT Accessibility" questions are required</t>
  </si>
  <si>
    <t>The answer to this question indicates if the "Consulting" questions are required</t>
  </si>
  <si>
    <t>The answer to this question indicates if the "AI" questions are required</t>
  </si>
  <si>
    <t>The answer to this question indicates if the "HIPAA" questions are required</t>
  </si>
  <si>
    <t>The answer to this question indicates if the "PCI DSS" questions are required</t>
  </si>
  <si>
    <t>The answer to this question indicates if the "On-Premises Data Solutions" questions are required</t>
  </si>
  <si>
    <t>To confirm keyboard-only claims, follow the how-to at Minimum Expectations for applications webpage &lt;https://go.iu.edu/minimum-expectations&gt; from Indiana University or reference WebAIM’s Keyboard Testing guidance &lt;https://webaim.org/techniques/keyboard/#testing&gt;.</t>
  </si>
  <si>
    <t xml:space="preserve">Based on the response to REQU-01 on the "START HERE" tab, this question does not apply to this product or service. </t>
  </si>
  <si>
    <t>Based on the response to REQU-02 on the "START HERE" tab, this question does not apply to this product or service.</t>
  </si>
  <si>
    <t>Based on the response to REQU-03 on the "START HERE" tab, this question does not apply to this product or service.</t>
  </si>
  <si>
    <t>Based on the response to REQU-04 on the "START HERE" tab, this question does not apply to this product or service.</t>
  </si>
  <si>
    <t>Based on the response to REQU-05 on the "START HERE" tab, this question does not apply to this product or service.</t>
  </si>
  <si>
    <t>Based on the response to REQU-06 on the "START HERE" tab, this question does not apply to this product or service.</t>
  </si>
  <si>
    <t>Based on the response to REQU-07 on the "START HERE" tab, this question does not apply to this product or service.</t>
  </si>
  <si>
    <t>Based on the response to AIQU-01 on the "START HERE" tab, this question does not apply to this product or service.</t>
  </si>
  <si>
    <t>Based on the response to AIQU-02 on the "START HERE" tab, this question does not apply to this product or service.</t>
  </si>
  <si>
    <t>Answer</t>
  </si>
  <si>
    <t xml:space="preserve">Federal regulation requires that technology products conform to WCAG 2.1 AA. Technology platforms that do not substantially conform to this standard put schools at risk of not complying with these requirements. </t>
  </si>
  <si>
    <t>Does your product rely on activating a special "accessibility mode," a "lite version," or using an alternate interface (including “overlay” or AI-based alternates)  for accessibility purposes?</t>
  </si>
  <si>
    <t>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t>
  </si>
  <si>
    <t>Provide further details in Additional Information.</t>
  </si>
  <si>
    <t>Indicate which primary standards and all additional standards the solution meets.</t>
  </si>
  <si>
    <t>Please provide plans (when and by whom) of any planned audit, or a rationale if no third-party audit is planned.</t>
  </si>
  <si>
    <t>Audit results, including VPAT/ACRs, are voluntary reports often generated by the creator of the product. Audits conducted and reports generated by expert third parties give greater confidence to customers.</t>
  </si>
  <si>
    <t xml:space="preserve">3. Guidance in column E may change based on your answers to prompt details in "Additional Information." If leaving an answer blank, you must also state why in "Additional Information". </t>
  </si>
  <si>
    <t>Hybrid/Other</t>
  </si>
  <si>
    <t>Copyright © 2025 EDUCAUSE</t>
  </si>
  <si>
    <r>
      <t xml:space="preserve">PRIVACY REFERENCE QUESTIONS </t>
    </r>
    <r>
      <rPr>
        <b/>
        <i/>
        <sz val="14"/>
        <color theme="0"/>
        <rFont val="Verdana"/>
        <family val="2"/>
      </rPr>
      <t>-these fields cannot be edited and must be changed on the "Institution Evaluation" tab.</t>
    </r>
  </si>
  <si>
    <t>You can find full tutorials on the HECVAT at educause.edu/HECVAT</t>
  </si>
  <si>
    <t>Cells A20 to A40 have intentionally been left blank.</t>
  </si>
  <si>
    <t>Include in Score?</t>
  </si>
  <si>
    <t>Max Score</t>
  </si>
  <si>
    <t>3. Changes cannot be made in this sheet. Please make changes in the appropriate "Evaluation" tab.</t>
  </si>
  <si>
    <r>
      <t xml:space="preserve">HECVAT Solution Provider Response - </t>
    </r>
    <r>
      <rPr>
        <b/>
        <i/>
        <sz val="20"/>
        <color theme="0"/>
        <rFont val="Verdana"/>
        <family val="2"/>
      </rPr>
      <t>Organization</t>
    </r>
  </si>
  <si>
    <t xml:space="preserve">Required Questions indicate to the solution provider which questions apply to their product or service. </t>
  </si>
  <si>
    <r>
      <t xml:space="preserve">HECVAT™ Solution Provider Response - </t>
    </r>
    <r>
      <rPr>
        <b/>
        <i/>
        <sz val="20"/>
        <color theme="0"/>
        <rFont val="Verdana"/>
        <family val="2"/>
      </rPr>
      <t>Start Here</t>
    </r>
  </si>
  <si>
    <t>HECVAT™ Institution Evaluation</t>
  </si>
  <si>
    <t xml:space="preserve"> Firewalls, IDS, IPS, and Networking</t>
  </si>
  <si>
    <t>At the completion of this contract, will data be returned to the institution and/or deleted from all your systems and archives?</t>
  </si>
  <si>
    <t xml:space="preserve">Please specify if it will be returned, deleted, or both. </t>
  </si>
  <si>
    <t>4. DO NOT complete any fields in the "Evaluation" sheets or the "Analyst Notes" column.</t>
  </si>
  <si>
    <t>Are you offering either a product or platform, as opposed to only offering a service</t>
  </si>
  <si>
    <t>Critical Importance/Lite Score</t>
  </si>
  <si>
    <t>Critical Importance Questions (Lite Review Questions)</t>
  </si>
  <si>
    <t xml:space="preserve">4. For instructions on how to do a "HECVAT Lite" evaluation, please visit educause.edu/HECVAT. </t>
  </si>
  <si>
    <t>Is any institutional data retained in AI processing?*</t>
  </si>
  <si>
    <t>N/A Guidance</t>
  </si>
  <si>
    <t>N/A</t>
  </si>
  <si>
    <t>Please explain why this does not apply to your product or service.</t>
  </si>
  <si>
    <t>Do you retain logs for at least as long as required by HIPAA regulations?</t>
  </si>
  <si>
    <t>If you answered "yes" to OPEM-04, are your remote actions and changes logged or otherwise visible to the campus?</t>
  </si>
  <si>
    <t xml:space="preserve">List how long you retain relevant logs. </t>
  </si>
  <si>
    <t>Version 4.1.0</t>
  </si>
  <si>
    <t>For customers not using SSO, does your solution support local authentication protocols for user and administrator authentication?*</t>
  </si>
  <si>
    <t>For customers not using SSO, can you enforce password/passphrase complexity requirements (provided by the institution)?*</t>
  </si>
  <si>
    <t>For customers not using SSO, does the system have password complexity or length limitations and/or restrictions?*</t>
  </si>
  <si>
    <t>For customers not using SSO, do you have documented password/passphrase reset procedures that are currently implemented in the system and/or customer support?*</t>
  </si>
  <si>
    <t>For customers not using SSO, does your application support integration with other authentication and authorization systems?</t>
  </si>
  <si>
    <t>For customers not using SSO, does your application support directory integration for user accounts?</t>
  </si>
  <si>
    <t>For customers not using SSO, does your application and/or user frontend/portal support multifactor authentication (e.g., Duo, Google Authenticator, OTP, etc.)?</t>
  </si>
  <si>
    <t xml:space="preserve">The purpose of this question is understand the solution provider's authentication infrastructure so that additional questions can be formulated for the institution's use case. If you will be using SSO, consider marking this question as "Do Not Score" in column J of the evaluation tab. </t>
  </si>
  <si>
    <t xml:space="preserve">Many institutions have a policy focused on passwords/passphrases, and this question confirms the capacity of a solution provider's solution to comply. If you will be using SSO, consider marking this question as "Do Not Score" in column J of the evaluation tab. </t>
  </si>
  <si>
    <t xml:space="preserve">Account management can be a time-consuming part of an information system. Account reset capabilities, built into a system, can reduce burden on institutional support services. If you will be using SSO, consider marking this question as "Do Not Score" in column J of the evaluation tab. </t>
  </si>
  <si>
    <t xml:space="preserve">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If you will be using SSO, consider marking this question as "Do Not Score" in column J of the evaluation tab. </t>
  </si>
  <si>
    <t xml:space="preserve">System (technical and security) administration is complex, and it is important to understand a system's capabilities to integrate with existing security and access systems. Having to maintain additional accounts increases overhead and may impact your institution's risk footprint. If you will be using SSO, consider marking this question as "Do Not Score" in column J of the evaluation tab. </t>
  </si>
  <si>
    <t xml:space="preserve">2FA/MFA, implemented correctly, strengthens the security state of a system. 2FA/MFA is commonly implemented and in many use cases is a requirement for account protection purposes. If you will be using SSO, consider marking this question as "Do Not Score" in column J of the evaluation tab. </t>
  </si>
  <si>
    <t>N/A is only an acceptable answer if you answered "no" to ALL of the following 7 questions: PRGN-01, 02, 03, 04 and PDAT-01, 02, 03</t>
  </si>
  <si>
    <t>N/A is only an acceptable answer if you answered "no" to ALL of the following 7 questions: PRGN-01, 02, 03, 04 and PDAT-01, 02, 04</t>
  </si>
  <si>
    <t>N/A is only an acceptable answer if you answered "no" to ALL of the following 7 questions: PRGN-01, 02, 03, 04 and PDAT-01, 02, 05</t>
  </si>
  <si>
    <t>N/A is only an acceptable answer if you answered "no" to ALL of the following 7 questions: PRGN-01, 02, 03, 04 and PDAT-01, 02, 06</t>
  </si>
  <si>
    <t>N/A is only an acceptable answer if you answered "no" to ALL of the following 7 questions: PRGN-01, 02, 03, 04 and PDAT-01, 02, 07</t>
  </si>
  <si>
    <t>N/A is only an acceptable answer if you answered "no" to ALL of the following 7 questions: PRGN-01, 02, 03, 04 and PDAT-01, 02, 08</t>
  </si>
  <si>
    <t>N/A is only an acceptable answer if you answered "no" to ALL of the following 7 questions: PRGN-01, 02, 03, 04 and PDAT-01, 02, 09</t>
  </si>
  <si>
    <t>N/A is only an acceptable answer if you answered "no" to ALL of the following 7 questions: PRGN-01, 02, 03, 04 and PDAT-01, 02, 10</t>
  </si>
  <si>
    <t>N/A is only an acceptable answer if you answered "no" to ALL of the following 7 questions: PRGN-01, 02, 03, 04 and PDAT-01, 02, 11</t>
  </si>
  <si>
    <t>N/A is only an acceptable answer if you answered "no" to ALL of the following 7 questions: PRGN-01, 02, 03, 04 and PDAT-01, 02, 12</t>
  </si>
  <si>
    <t>N/A is only an acceptable answer if you answered "no" to ALL of the following 7 questions: PRGN-01, 02, 03, 04 and PDAT-01, 02, 13</t>
  </si>
  <si>
    <t>N/A is only an acceptable answer if you answered "no" to ALL of the following 7 questions: PRGN-01, 02, 03, 04 and PDAT-01, 02, 14</t>
  </si>
  <si>
    <t xml:space="preserve">Cirrus Identity </t>
  </si>
  <si>
    <t>Cirrus Identity Gateway, Cirrus Identity Proxy, Cirrus Identity Bridge, Cirrus Identity Attribute Authority, Cirrus Identity Invitation, Cirrus Identity Account Linking, Cirrus Identity OrgBrandedID, and Cirrus Identity MFA -- Collective referred to as Cirrus Identity Products</t>
  </si>
  <si>
    <t>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t>
  </si>
  <si>
    <t xml:space="preserve">Mark Rank </t>
  </si>
  <si>
    <t>Director of Compliance and Strategic Insights</t>
  </si>
  <si>
    <t>mark.rank@cirrusidentity.com</t>
  </si>
  <si>
    <t>414-331-1476</t>
  </si>
  <si>
    <t>United States</t>
  </si>
  <si>
    <t>United States, Canada, and EU</t>
  </si>
  <si>
    <t>Cirrus Identity is a relatively small team of IT professionals, each with a background in delivering secure information systems. Our team operates as an integrated whole using both agile and devops methods to deliver our services. While team members have areas of responsibility, there is currently not enough specialization to require focused teams. The areas of responsibility are as follows: Software development: 3 full-time engineers. We also have two long-term contract engineers that assist with R&amp;D and new feature development as appropriate. Systems engineering: 2 full-time engineers. Customer support and Product: 3 full-time positions dedicated to Product and Customer Success. The CEO and Dir of Sales and Marketing also contribute to product management.</t>
  </si>
  <si>
    <t>Cirrus Identity was founded in January 2013 as a Delaware C Corporation. Cirrus Identity is privately held, with the majority of shareholders being employees of the company. Cirrus Identity's prior investors include Merian Ventures, 500 Startups, and Golden Seeds, who together own approximately 7% of the company. Cirrus Identity does not own any subsidiary companies, nor is it owned by any parent organizations.</t>
  </si>
  <si>
    <t xml:space="preserve">Mark Rank, Director of Compliance and Strategic Insights, leads the compliance program. Patrick Radtke, CTO, is responsible for system infrastructure compliance. Mary McKee, VP of Engineering, is responsible for engineering, change control, and access compliance. Kristina Deaton, VP of Customer Success, is responsible for incident response. These individuals together with the CEO and Director of Marketing and Sales also form the Cirrus Leadership Team which provides leadership and oversight of the Cirrus Identity compliance program.   </t>
  </si>
  <si>
    <t xml:space="preserve">Cirrus Identity runs its infrastructure on Amazon Web Services (AWS). Cirrus production workloads are operating in an AWS Virtual Private Cloud (VPC) and load balanced using Amazon Elastic Kubernetes Service (EKS) spread across multiple availability zones in the US East (Northern Virginia) Region. Cirrus Identity currently deploys its systems according to commercially reasonable and Amazon recommended practices. Cirrus Identity services are developed following commercially reasonable and OWASP recommended practices . </t>
  </si>
  <si>
    <t>Cirrus Identity provides professional services to support deployment of our hosted services -- Professional services is not a primary function of the company</t>
  </si>
  <si>
    <t>The Cirrus Identity standard subscription does not cover access control for protected health information (PHI).</t>
  </si>
  <si>
    <t>The Cirrus Identity standard subscription does not cover access control for data covered by the PCI-DSS standard.</t>
  </si>
  <si>
    <t>Cirrus Identity BCP is available upon request.</t>
  </si>
  <si>
    <t>DRP is covered by Cirrus Identity Incident Response and Business Continuity plans, which are available upon request.</t>
  </si>
  <si>
    <t>The 2024-2025 SOC2 Type2 report was completed 2025-02-14. Our hosting provider (AWS) was not a subject of the audit. The process to request a copy is available from https://www.cirrusidentity.com/resources/trust-and-compliance-center</t>
  </si>
  <si>
    <t>Cirrus identity uses the CIS Controls augmented with NIST SP 800-53 to guide our security program</t>
  </si>
  <si>
    <t>That information is available by requesting our latest SOC2 Type 2 report.</t>
  </si>
  <si>
    <t>The current privacy policy is available from https://www.cirrusidentity.com/resources/trust-and-compliance-center</t>
  </si>
  <si>
    <t>The Cirrus Identity Human Resource Security Policy and associated standard operating procedures are available upon request.</t>
  </si>
  <si>
    <t>The Third-Party Management Policy and associated standard operating procedures are available upon request.</t>
  </si>
  <si>
    <t xml:space="preserve">The following third parties have access to institutional data:
1) Amazon Web Services (AWS) - Cirrus Identity runs all production loads using AWS. AWS will have access to stored institutional data and institutional data that is in transit between the end user and the institution.
2) BitWarden - Credentials for customer APIs and test accounts are stored in the LastPass service.
3) Bitbucket and GitHub - Cirrus Identity uses continuous integration and continuous deployment (CI/CD) practices to deliver our solutions. Our CI/CD pipeline utilizes git repositories for these practices. The CI/CD pipeline contains institutional data (for example metadata) that is stored at rest using git and encryption extensions for git.
4) Rapid7 - Cirrus Identity contracts with external vendor to do vulnerability assessment. 
5) Mailgun Email API and Managed Service - Unless an institution sets up the email handler to route mail through their email infrastructure, the mail generated from Cirrus Invitation Service, Cirrus Account Linking, and Cirrus External Identity Provider will be sent using the hosted service Mailgun. To perform this function, Mailgun will have access to the content of the messages sent.
6) Vanta is a service that is integrated with, compiles, and monitors Cirrus configuration and data in various systems (such as AWS, GitHub, Bitbucket and others). This data is used for ongoing compliance and auditing functions.
Cirrus Identity also utilizes the open source SimpleSAMLphp project (https://simplesamlphp.org/) as a foundational component of Cirrus Identity solutions. SimpleSAMLphp is a recognized and vetted standards based implementation of the SAML protocol. </t>
  </si>
  <si>
    <t>Cirrus Identity Information Security Policy requires staff to use hardware manufactured (final assembly) by vendors not sanctioned by the US Government.</t>
  </si>
  <si>
    <t>Cirrus Identity assesses the impact of major changes on the services delivered. If the assessment indicates the security posture changes from what has been specified to customers, a communication will be sent to the operational contacts for each customer. This communication will take place as stipulated by contract.</t>
  </si>
  <si>
    <t>In limited cases, Cirrus Identity will support custom configuration for individual customers -- usually implemented with a professional services agreement. Any custom functionality is implemented in the production code base and incorporated in our general CI/CD workflow so the custom functionality is maintained with any subsequent changes to services. Separate support, compliance, and accessibility conditions may apply to custom configuration; and would be reflected in the individual customer's subscription.</t>
  </si>
  <si>
    <t>Infrastructure is configured using AWS CloudFormation or terraform (https://www.terraform.io/) solutions - aka "infrastructure as code".  The artifacts for these solutions are managed just like any other Cirrus Identity code and are maintained using git. container images are widely used to maintain containerized deployments within our Kubernetes based infrastructure.</t>
  </si>
  <si>
    <t>Change Management Policy and Procedure documents are available upon request.</t>
  </si>
  <si>
    <t xml:space="preserve">The impact of the change takes place as part of our secure development life cycle, as the change is being developed. Before a specific change is authorized for deployment, there is both automated unit testing, and human performed QA validation.  </t>
  </si>
  <si>
    <t>This is an area of active process improvement. Currently the CI/CD tooling performs static analysis of libraries at the time of building of new container images before deployment.</t>
  </si>
  <si>
    <t>The procedure on how critical patches are applied is covered by our Change Management Policy and Procedure document. It is available upon request.</t>
  </si>
  <si>
    <t>The procedure on how security risks are mitigated until patches can be applied is covered by our Change Management Policy and Procedure document. It is available upon request.</t>
  </si>
  <si>
    <t>Cirrus Identity offers "Software as a Service" and does not maintain individual releases for each customer. Any enhancements are either: 1) To address operational issues impacting one or more of customers 2) To improve functionality for all customers 3) Provide more functionality options that customers can either choose to implement or not -- usually by activating feature toggles. Any change that breaks existing operation for customers at the time of deployment would be considered a service issue, and would be addressed.</t>
  </si>
  <si>
    <t>There is only the current service version in operation for all customers. Customers don't have access to pre-production or multiple versions of Cirrus Identity Services. As of 2025-04-30 the version as reflected by the Cirrus Identity Console is 4.14.5.</t>
  </si>
  <si>
    <t>Cirrus Identity uses a continuous integration and delivery (CI/CD) methodology to deliver services. Service changes occur on a continuous schedule.</t>
  </si>
  <si>
    <t>Cirrus Identity maintains an internal roadmap to guide proposed changes, bug fixes, and enhancements. This roadmap is continually evaluated and aligned with the priorities of current and potential customers.</t>
  </si>
  <si>
    <t>Cirrus Identity implements the majority of service updates without institutional involvement. For a small number of enhancements, customers must enable new features either by authorized customer administrators or through requests to Cirrus Identity Support before the enhancement will be active.</t>
  </si>
  <si>
    <t xml:space="preserve">A combination of rolling updates, parallel operation (blue-green deployment), and feature toggles are used to deploy service changes without impact to the customer. Internal usage metrics are used to schedule work during off-peak hours when that work is considered high-impact. Peak usage varies by Cirrus Identity service, time of year, and current customer deployments. </t>
  </si>
  <si>
    <t>The procedure for emergency changes is defined by our Change Management Policy and Procedure document. It is available upon request.</t>
  </si>
  <si>
    <t xml:space="preserve">Cirrus maintained virtual servers and containers are maintained as part of change management (see CHNG-03). Mobile devices are maintained by individual staff according to Cirrus Identity Information Security Policy. </t>
  </si>
  <si>
    <t>Infrastructure patching is one of the documented and pre-authorized routine changes of the Cirrus Identity Change Management Policy and Procedure. Infrastructure patching is conducted at least monthly.</t>
  </si>
  <si>
    <t xml:space="preserve">Any compliance requirements for institutional privacy and data protection policies must be captured by the contract process and reflected in the master terms governing the subscription for Cirrus Identity services. </t>
  </si>
  <si>
    <t xml:space="preserve">Cirrus Identity operates Cirrus Identity Services in the United States. Any compliance requirements for institutional' geographic regional laws and regulations must be captured by the contract process, and reflected in the master terms governing the subscription for Cirrus Identity services. </t>
  </si>
  <si>
    <t>Cirrus Identity leverages open standards for cryptographic algorithms, and utilizes generally accepted libraries maintained either by the open source community or a vendor (AWS Linux for example). The only constraints would be supporting cryptographic algorithms generally accepted to be insecure, or emerging algorithms that are not generally available in the standard libraries used by Cirrus Identity.</t>
  </si>
  <si>
    <t xml:space="preserve">System Development Life Cycle is documented as part of the Cirrus Identity Change Management Policy and Procedure. The Cirrus Identity Change Management Policy and Procedure is available upon request. </t>
  </si>
  <si>
    <t>Cirrus Identity performs criminal background checks for  all staff.</t>
  </si>
  <si>
    <t>New employees fill out an employment agreement, and review policies as managed by Cirrus Identity's compliance platform (Vanta).</t>
  </si>
  <si>
    <t>The Cirrus Identity Information Security Policy is available upon request.</t>
  </si>
  <si>
    <t xml:space="preserve">Cirrus Identity uses OWASP and other security guidance for design of Cirrus Identity services. </t>
  </si>
  <si>
    <t>Any compliance requirements for applicable breach notification laws must be captured by the contract process and reflected in the master terms governing the subscription for Cirrus Identity services.</t>
  </si>
  <si>
    <t xml:space="preserve">
An information security awareness program is delivered by Cirrus Identity's compliance platform (Vanta) during onboarding.</t>
  </si>
  <si>
    <t>Security awareness training is delivered by Cirrus Identity's compliance platform (Vanta) during new staff onboarding, and annually for all current staff.</t>
  </si>
  <si>
    <t xml:space="preserve">Access review procedures are documented by the Cirrus Identity Access Control Policy. Reviews occur at least annually and also required during specific events (for example employee changes, or major service changes). The Cirrus Identity Access Control Policy is available upon request. </t>
  </si>
  <si>
    <t>Cirrus Identity has a documented Security Assessment Policy, has implemented a compliance management solution (Vanta), and has agreements with both a penetration testing firm (Rapid7) and an external audit firm (Prescient Assurance). The Cirrus Identity Security Assessment Policy is available upon request.</t>
  </si>
  <si>
    <t>Cirrus Identity is a virtual organization with staff working remote and services run from AWS. To the extent physical security controls are needed, they are addressed as part of the Cirrus Identity Information Security Policy, which is available upon request.</t>
  </si>
  <si>
    <t xml:space="preserve">The majority of Cirrus Identity Products utilizes web application single sign-on (WebSSO) protocols for either end user or administrator authentication. Cirrus Identity Products defer to the source identity provider for the strength of the authentication. Cirrus Identity offers the Cirrus Identity OrgBrandedID which is a hosted light weight SAML V2 Identity Provider that can be used by end users that do not have another identity provider option. </t>
  </si>
  <si>
    <t>Cirrus Identity PRoducts utilize web application single sign-on (WebSSO) protocols for either end user or administrator authentication.</t>
  </si>
  <si>
    <t>Identity providers outside the operational scope of Cirrus Identity would manage password/passphrase complexity requirements. Cirrus Identity solutions do not manage the password/passphrase with the exception of the Cirrus Identity OrgBrandedID. Password/passphrase complexity enforcement for the Cirrus Identity OrgBrandedID can be configured based on the organization's requirements.</t>
  </si>
  <si>
    <t>Identity providers outside the operational scope of Cirrus Identity would manage password/passphrase complexity requirements. Cirrus Identity solutions do not manage the password/passphrase with the exception of the Cirrus OrgBrandedID. Password/passphrase complexity enforcement for the Cirrus OrgBrandedID can be configured based on the organization's requirements.</t>
  </si>
  <si>
    <t xml:space="preserve">Identity providers outside of the operational scope of Cirrus Identity would need to implement password/passphrase reset procedures. The Cirrus Identity Products does not manage the password/passphrase reset process with the exception of the Cirrus OrgBrandedID. 
For the Cirrus OrgBrandedID, there is a self-service UI for the end user to change the password if they still remember it. If the end user does not know the password, the default method to reclaim the password is by passing a token to the email address registered to the OrgBrandedID. </t>
  </si>
  <si>
    <t>Cirrus Identity services use the following entity IDs:
https://apps.cirrusidentity.com/shibboleth https://support.proxy.cirrusidentity.com/sp
Customers may also choose to register their own tenants in Incommon or other eduGAIN trust federations.</t>
  </si>
  <si>
    <t>Cirrus Identity event logs share a common data format to support analysis of system activity by the customer. Each event record contains data elements necessary to support this analysis (such as timestamp, client IP, user identifier, system tenant, and other supporting detail). Types of event logs available for the system are documented on the Cirrus Identity website. 
Note: events occurring on identity provider systems external to Cirrus Identity Products such as personal login providers (Google, Microsoft, Apple, or others), federated identity providers (such as other InCommon IdPs), or the customer's identity provider are outside of the scope of what Cirrus Identity logs.</t>
  </si>
  <si>
    <t xml:space="preserve">A) The system to access event logs is built into the base Cirrus Identity services. See https://blog.cirrusidentity.com/documentation/self-service-metrics for details.  
B) As outlined by "A", there are no additional customer requirements to implement logging. 
C) Customers may also subscribe to the Cirrus Identity Log API (https://www.cirrusidentity.com/documentation/log-api) to stream event logs into a SIEM or log collector tool of their choosing. There is a nominal additional fee for this capability. There is no material difference in the type of information available as outlined by "A". </t>
  </si>
  <si>
    <t>Cirrus Identity event logs are available for 90 days.</t>
  </si>
  <si>
    <t>Primary integration would use SAML2 WebSSO protocol, but some products also support OIDC or CAS.</t>
  </si>
  <si>
    <t xml:space="preserve">The primary method for handling attributes associated with end-user accounts is through the passing of attributes from external authentication sources (aka identity providers) using the SAMLV2 webSSO protocol. Some products also support OIDC or CAS webSSO protocols. </t>
  </si>
  <si>
    <t xml:space="preserve">Cirrus Identity Products supports the following WebSSO standards: SP initiated SAML2, CAS, and OIDC. </t>
  </si>
  <si>
    <t>Cirrus Identity solutions will respect the multi-factor (MFA) capabilities of Identity providers outside the operational scope of Cirrus Identity, and will respect the signaling for multi-factor where possible (for example REFEDS MFA Context -- https://refeds.org/profile/mfa).</t>
  </si>
  <si>
    <t>Not applicable - Cirrus Identity solutions support SAML single log-out if configured, and do not interfere with the session locking or session management of individual service providers. The Cirrus Administrative console has session timeout functions.</t>
  </si>
  <si>
    <t xml:space="preserve">Data in transit is encrypted by TLS 1.2 -- as of Fall 2020, a TLS version below 1.2 is not supported. Load balancers are currently configured to use the ELBSecurityPolicy-TLS-1-2-Ext-2018-06 for the majority of products. New product deployments are migrating to use ELBSecurityPolicy-TLS13-1-2-2021-06 as the standard. See https://docs.aws.amazon.com/elasticloadbalancing/latest/network/describe-ssl-policies.html for details. SAML V2 messages are also signed to prevent tampering. Cirrus engineering utilizes SSH and VPN to access the AWS Virtual Private Cloud (VPC). </t>
  </si>
  <si>
    <t>Data is encrypted at rest with KMS (Amazon’s key management service). Allowing AWS to manage the keys improves segregation of duties. EC2 volumes and RDS (the database) are encrypted at rest. Some data is also encrypted using envelope encryption (for example SAML keys). The master key for envelope security is region specific and managed by KMS, while the KMS generated data key is used cross-region.</t>
  </si>
  <si>
    <t>The current Bouncy Castle Java API and xmlseclib versions uses FIPS approved algorithms but is not validated to FIPS PUB 140-3. Cirrus Identity also does not currently utilize FIPS validated AWS endpoints or services. See https://aws.amazon.com/compliance/fips/ for details.</t>
  </si>
  <si>
    <t>Default Cirrus Identity master terms contract language references the Cirrus Identity Privacy Policy (https://www.cirrusidentity.com/cirrus-trust-and-compliance) for data retention at the termination of a customer's contract. Unless altered by contract, customers have 30 days from contract termination to request return of data controlled by the customer.</t>
  </si>
  <si>
    <t>Unless altered by contract, default Cirrus Identity master terms contract language maintains customer rights provided Cirrus Identity may assign the entire master terms agreement without customer consent in connection with a merger, acquisition, corporate reorganization, or sale.</t>
  </si>
  <si>
    <t>The AWS Aurora native mechanism is used to perform backups. These backups do not leave the AWS regions where we have workloads.</t>
  </si>
  <si>
    <t>Cirrus Identity uses AWS Glacier for long terms storage of data, and relies on the datacenter controls implemented by AWS for security and environmental protection. See https://aws.amazon.com/compliance/data-center/controls/ for details.</t>
  </si>
  <si>
    <t xml:space="preserve">Customers may use Cirrus Identity APIs to extract data controlled by the Customer for the duration of the contract and up to 30 days after termination. </t>
  </si>
  <si>
    <t>The CI/CD process used by Cirrus Identity enable the recreation of environments fit for purpose based on the database snapshot, AWS Simple Storage Service (S3), AWS Simple Systems Management (SSM), and the assets contained in the two Cirrus Identity code repositories.</t>
  </si>
  <si>
    <t xml:space="preserve">Data backups are moved to a disaster recovery AWS region (DR) that is separate from the PROD systems. See DATA-07 </t>
  </si>
  <si>
    <t>The AWS Aurora native mechanism is configured to use AES-256 for encryption.</t>
  </si>
  <si>
    <t>Customer data is confined to the Cirrus Identity AWS Virtual Private Cloud (VPC). When customer data is no longer needed, it is deleted. Cirrus Identity relies on the media handling process of AWS for end-of-life, repurposing, and data sanitization procedures. See https://d1.awsstatic.com/whitepapers/compliance/AWS_SOC3.pdf for details.</t>
  </si>
  <si>
    <t>Cirrus Identity relies on the media handling process of AWS for end-of-life, repurposing, and data sanitization procedures. Per AWS SOC3, "All  decommissioned  hardware   is  sanitized  and physically  destroyed  in accordance with industry-standard practices."</t>
  </si>
  <si>
    <t>Cirrus Identity staff that has an operational need, have access to the same data that customer staff with administrative authorization in the Cirrus Administrative console have access to. Certain third parties have access to institutional data by the fact Cirrus Identity runs services on third-party infrastructure (such as AWS).</t>
  </si>
  <si>
    <t>Staff are responsible for securing workstations per the Cirrus Identity Information Security Policy.</t>
  </si>
  <si>
    <t>Cirrus Identity Products are implemented using a multitenancy architecture. Data and configuration is logically partitioned by application logic based on organization based identifiers. There is no current plan to physically separate individual customer data. If there is sufficient customer need, customers with different data residency requirements may be partitioned into separate regional deployments.</t>
  </si>
  <si>
    <t>Customers are data controllers for all data collected and retained by Cirrus Identity services. The specific customer, third party, and end user rights and obligations are enumerated in the Cirrus Identity Privacy Policy (https://www.cirrusidentity.com/cirrus-trust-and-compliance) unless modified by contract. Blanket ownership rights do not reside with the customer because of the nature of the services Cirrus Identity offers.</t>
  </si>
  <si>
    <t>Customers will have up to 30 days after termination of the contract.</t>
  </si>
  <si>
    <t>Cirrus Identity uses AWS Aurora Automated Backup for recurring and durable backup over a period of seven (7) calendar days.</t>
  </si>
  <si>
    <t>Cirrus Identity uses AWS Key Management System to manage cryptographic keys. See https://docs.aws.amazon.com/kms/latest/cryptographic-details/intro.html</t>
  </si>
  <si>
    <t>The Cirrus Identity Products are used to provide access to downstream service providers. Depending on service provider; RBAC, ABAC, or PBAC can be supported.</t>
  </si>
  <si>
    <t>Cirrus Identity has implemented AWS WAF -- https://aws.amazon.com/waf/?nc2=h_ql_prod_se_waf</t>
  </si>
  <si>
    <t>Cirrus Identity reviews all new dependencies for active maintenance to support timely updates to identified vulnerabilities. In limited cases, a product dependency falls out of active support after integration into the Cirrus product. In these cases, Cirrus will backport fixes to address vulnerabilities or otherwise implement compensating measures to manage risks while working toward replacement of the dependency. These mitigations and transition steps are defined as part of an associated risk management plan. Subject to the terms of contract,</t>
  </si>
  <si>
    <t>There are no plans to require access to location or GPS data.</t>
  </si>
  <si>
    <t xml:space="preserve">The primary separation of duty control is the use of federated access to access the Cirrus Administrative Console. Since organization administrators log in using their organization's credential, there is a separation between the administrative functions in the Cirrus Console and any access logging. Further, since the solution is hosted, the organization administrators do not have direct access to logs that record their activities. </t>
  </si>
  <si>
    <t xml:space="preserve">We leverage vulnerability checking as part of our change management process:  
PHP/SSP -- local-php-security-checker  (https://github.com/fabpot/local-php-security-checker) (migrating from)
PHP/SSP -- "audit" capability of PHP composer package manager (migrating to)
PHP/SSP -- Psalm (https://psalm.dev)
Groovy/Grails -- CodeNarc (https://codenarc.org/)
Python -- pylint and bandit
VUE -- ESLint
GitHub -- code repository scanning
AWS -- container repository scanning
</t>
  </si>
  <si>
    <t>Software and new configurations are tested using a dedicated QA environment instrumented with a base set of automated tests. This environment is also used to perform manual testing. Both testing would be considered dynamic.</t>
  </si>
  <si>
    <t>Cirrus Identity Staff access back office services through a combination of structured rules, RBAC, and ABAC, depending on the service. Access controls are managed internally using a job role matrix.</t>
  </si>
  <si>
    <t>Questions about input validation and error message capabilities can be answered by using Cirrus Identity Support Center (https://www.cirrusidentity.com/resources/service-desk).</t>
  </si>
  <si>
    <t xml:space="preserve">Cirrus Identity has a SDLC process, and leverages static code analysis tools to manage the software supply chain. </t>
  </si>
  <si>
    <t xml:space="preserve">Cirrus Identity's CTO has formal training is security software development. All developers working for Cirrus Identity have extensive experience developing access management solutions. </t>
  </si>
  <si>
    <t>Cirrus Identity follows the OWASP (https://owasp.org/www-pdf-archive/OWASP_SCP_Quick_Reference_Guide_v2.pdf) and other relavent guidelines during both the design and development of services.</t>
  </si>
  <si>
    <t>Cirrus Identity currently doesn't offer a mobile app.</t>
  </si>
  <si>
    <t>Staff access to institutional instances is controlled by a job-role matrix document as implemented by the Cirrus - Access Control Policy.</t>
  </si>
  <si>
    <t>AWS - Not Applicable</t>
  </si>
  <si>
    <t>Currently, Cirrus Identity stores all data in United States region. If there is sufficient customer need, Cirrus Identity is willing to consider hosting region specific implementations for some services to meet geographic storage compliance requirements.</t>
  </si>
  <si>
    <t>Cirrus Identity operates production service load in multiple availability zones (AZs) in the AWS US-EAST-1 region. "AZs are physically separated by a meaningful distance, many kilometers, from any other AZ, although all are within 100 km (60 miles) of each other." See https://aws.amazon.com/about-aws/global-infrastructure/regions_az/ for details. QA and DR services are operated in the AWS US-WEST-2 region.</t>
  </si>
  <si>
    <t>See https://aws.amazon.com/compliance/data-center/controls/</t>
  </si>
  <si>
    <t>A combination of Google Workplace and AWS SSO are used for Administrator authentication with MFA enforced. Administrators may choose either a soft token maintained in a smartphone app, or a hard token (YubiKey).</t>
  </si>
  <si>
    <t xml:space="preserve">Access to Cirrus Identity internal systems is protected using AWS Virtual Private Cloud (VPC) access controls including the use of AWS Security Groups. </t>
  </si>
  <si>
    <t>Firewall changes would be handled according to Cirrus Identity Change Management Policy and Procedure. Generally changes for network would be approved by CTO.</t>
  </si>
  <si>
    <t xml:space="preserve">A threat detection service (AWS GuardDuty) is used to continuously monitor the Cirrus Identity Virtual Private Cloud (VPC) for malicious or unauthorized behavior.  </t>
  </si>
  <si>
    <t xml:space="preserve">Host-based intrusion detection is configured for virtual servers to monitor for anomalous behavior. </t>
  </si>
  <si>
    <t>Cirrus Identity has enabled AWSCloudTrail and AWSConfig with logging in our environment.</t>
  </si>
  <si>
    <t>Firewall changes would be handled according to Cirrus Identity Change Management Policy and Procedure. Changes for network would be approved by CTO or pre-authorized alternate.</t>
  </si>
  <si>
    <t>A web application firewall (WAF) has been deployed providing a signature based IPS for the network.</t>
  </si>
  <si>
    <t xml:space="preserve">Host-based firewalls are configured to limit access to defined networks, network paths, hosts, and clients within the Cirrus Identity AWS Virtual Private Cloud (VPC). </t>
  </si>
  <si>
    <t>See FIDP-03 for details.</t>
  </si>
  <si>
    <t>Intrusion monitoring is performed internally.</t>
  </si>
  <si>
    <t xml:space="preserve">
Any notifications from GuardDuty are sent to an email distribution list monitored by Cirrus Identity on-call staff.</t>
  </si>
  <si>
    <t xml:space="preserve">The Cirrus Identity Incident Response Procedure has the following high level steps:
1) Triage by Customer Success
2) Escalation by Customer Success to an Incident Coordinator
3) Resource Allocation by Incident Coordinator do identity appropriate technical resources
4) Response Coordination by Incident Coordinator to address the issue
5) Postmortem by Incident Coordinator to document the details, duration, and root cause
6) Close Out by Dir of Customer Success to perform final review and inform the Cirrus Identity Leadership Team of the outcome
The Cirrus Identity Incident Response Procedure is available upon request.
</t>
  </si>
  <si>
    <t>Cirrus Identity has internal staff designated for incident response per the Cirrus Identity Incident Response Procedure.</t>
  </si>
  <si>
    <t>Members of Cirrus Identity staff are on call to respond to incidents 24X7X365.</t>
  </si>
  <si>
    <t>Each wrongful act: $10,000,000 Aggregate: $10,000,000</t>
  </si>
  <si>
    <t>As part of the Cirrus Identity Change Management process, a number of automated tests validate correct baseline operation when used by an authenticated end-user. Static code/application tests are applied to product code prior to release (see APPL-06 for details), application level content security policies are configured, and the AWS Web Application Firewall augment this automated testing to provide commercially reasonable compensating controls.</t>
  </si>
  <si>
    <t xml:space="preserve">Results of scans will be provided to institutions upon request after any critical, high, or medium vulnerabilities are mitigated (see https://nvd.nist.gov/vuln-metrics/cvss for definitions). </t>
  </si>
  <si>
    <t xml:space="preserve">Testing or scanning against Cirrus Identity production services is prohibited by standard contract. Any Customer requirements to perform testing / scanning of Cirrus Identity production services must be negotiated as part of Customer Contract including additional subscription fees. </t>
  </si>
  <si>
    <t>Cirrus Identity contracts with a third-party (Rapid7) to perform annual vulnerability scanning (internal and external). An attestation from Rapid7 is available upon request.</t>
  </si>
  <si>
    <t xml:space="preserve">Cirrus Identity utilizes recognized and security tested web application frameworks (SimpleSAMLphp and Grails) for delivery of products. Cirrus is also evaluating content security policies at the application level. Static code/application tests are applied to product code prior to release (see APPL-06 for details), and the AWS Web Application Firewall augment these frameworks to provide commercially reasonable compensating controls. </t>
  </si>
  <si>
    <t>Cirrus Identity contracts with a third party (Rapid7) to perform annual vulnerability scanning (internal and external).</t>
  </si>
  <si>
    <t>Mark Rank</t>
  </si>
  <si>
    <t>Dir of Compliance and Stratigic Insights</t>
  </si>
  <si>
    <t>https://www.cirrusidentity.com/resources/trust-and-compliance-center</t>
  </si>
  <si>
    <t>Latest ACR is available from https://www.cirrusidentity.com/resources/trust-and-compliance-center</t>
  </si>
  <si>
    <t>Company agrees to meet WCAG 2.1 AA for the products stated in the current ACR</t>
  </si>
  <si>
    <t>Reporting and tracking of accessibility issues is handled as part of the product support process. Generally issues are reported through the Cirrus Identity Support Center (https://www.cirrusidentity.com/resources/service-desk).</t>
  </si>
  <si>
    <t xml:space="preserve">Cirrus Identity has not conducted a third-party accessibility audit of offered products. </t>
  </si>
  <si>
    <t xml:space="preserve">The current informal process is to perform basic checks of accessibility conformance annual during updates to the ACR. Accessibility is also considered during the Change Management process. Process to be documented during 2025 documentation update cycle.  </t>
  </si>
  <si>
    <t>Cirrus Identity bases our ACR on WCAG 2.1 at the AA Level.</t>
  </si>
  <si>
    <t>There are no current plans to require staff to maintain certifications in accessibility knowledge.</t>
  </si>
  <si>
    <t>See current Cirrus Identity ACR available from https://www.cirrusidentity.com/resources/trust-and-compliance-center</t>
  </si>
  <si>
    <t>Cirrus Identity aims to collect and store the least amount of end user personal data necessary to deliver access control services for customers. Unless modified by contract, The Customer is the primary Data Controller and ultimately controls what data is processed by Cirrus Identity.</t>
  </si>
  <si>
    <t>Generally Cirrus Identity Customers do not use Cirrus Identity services to collect regulated information from the end user. Cirrus Identity aims to collect and store the least amount of end user personal data necessary to deliver access control services for customers. Unless modified by contract, The Customer is the primary Data Controller and ultimately controls what data is processed by Cirrus Identity.</t>
  </si>
  <si>
    <t>Cirrus Identity aims to collect and store the least amount of end user personal data necessary to deliver access control services for customers. Unless modified by contract, The Customer is the primary Data Controller and ultimately controls what data is processed by Cirrus Identity. Privacy practices are covered by the Cirrus Identity Privacy Policy (available from https://www.cirrusidentity.com/resources/trust-and-compliance-center) and the Data Management section of the contract with the customer. A sample of the default contract langauge is available upon request.</t>
  </si>
  <si>
    <t>Data privacy related activities are handled as part of the Cirrus Identity Compliance Program.</t>
  </si>
  <si>
    <t xml:space="preserve">Cirrus Identity does not currently include the Privacy Trust Service Principle component of our annual SOC 2 Type 2 audit. </t>
  </si>
  <si>
    <t xml:space="preserve">Cirrus Identity does not currently claim conformance to a specific industry-standard privacy framework. As of 2025-06-02, the Cirrus Identity Privacy Policy has been updated to support future participation in the US Data Privacy Framework (DPF). The principles defined by the General Data Protection Regulation (GDPR) currently guide Cirrus Identity privacy practices and product strategy.   </t>
  </si>
  <si>
    <t>Cirrus Identity has an onboarding training program and privacy will be added to the 2025 awareness content.</t>
  </si>
  <si>
    <t>Cirrus Identity utilizes third-parties with equivalent or greater privacy practices to those maintained by Cirrus Identity.</t>
  </si>
  <si>
    <t>As part of the Cirrus Identity Third-Party vendor management practices, Cirrus Identity evaluates privacy practices so they are equivalent or greater than those maintained by Cirrus Identity.</t>
  </si>
  <si>
    <t>Privacy principles would be a consideration during the design phase of the Cirrus Identity Change Management Procedure.</t>
  </si>
  <si>
    <t>The Cirrus Identity Incident Response Plan considers disruptions to the privacy controls of Cirrus Identity Services in the same manner as disruptions to other information security related controls.</t>
  </si>
  <si>
    <t>Generally Cirrus Identity Customers do not use Cirrus Identity services to collect, process, or store demographic data about the end user. Cirrus Identity aims to collect and store the least amount of end user personal data necessary to deliver access control services for customers. Unless modified by contract, The Customer is the primary Data Controller and ultimately controls what data is processed by Cirrus Identity.</t>
  </si>
  <si>
    <t>Generally Cirrus Identity Customers do not use Cirrus Identity services to capture or create genetic, biometric, or behaviometric data about the end user. Cirrus Identity aims to collect and store the least amount of end user personal data necessary to deliver access control services for customers. Unless modified by contract, The Customer is the primary Data Controller and ultimately controls what data is processed by Cirrus Identity.</t>
  </si>
  <si>
    <t>Generally Cirrus Identity Customers do not use Cirrus Identity services to aggegate personal data about the end user. Cirrus Identity aims to collect and store the least amount of end user personal data necessary to deliver access control services for customers. Unless modified by contract, The Customer is the primary Data Controller and ultimately controls what data is processed by Cirrus Identity.</t>
  </si>
  <si>
    <t>Cirrus Identity operates production workloads from AWS datacenters in the Unitied States. Customers with end users located outside of the Unitied States and using local internet connectivity may experience data traversing the United States regional boundary by virtue of using Cirrus Identity for access to Customer applications. The extent that data is considered institutional data will depend on the Customer. The Customer is the primary Data Controller and ultimately controls what data is processed by Cirrus Identity.</t>
  </si>
  <si>
    <t xml:space="preserve">Cirrus Identity will log the end user client IP address during the logging and monitoring of Cirrus Identity services. Logs are retained for 90 days. See the Cirrus Identity Privacy Policy (https://www.cirrusidentity.com/resources/trust-and-compliance-center) for further details. </t>
  </si>
  <si>
    <t xml:space="preserve">To deliver Cirrus Identity Services, both persistent cookies and session cookies are used. See the "Cookies" section of the Cirrus Identity Privacy Policy (https://www.cirrusidentity.com/resources/trust-and-compliance-center) for further details. </t>
  </si>
  <si>
    <t>Cirrus Identity staff that have an operational need, have access to the same data that customer staff with administrative authorization in the Cirrus Identity Console have access to. Certain third parties have access to institutional data by the fact Cirrus Identity runs services on third-party infrastructure (such as AWS).</t>
  </si>
  <si>
    <t>Cirrus Identity will handle personal data as specified by contract. Relevant laws, regulations, and applicable institutional policies must be specified in the contract agreement.</t>
  </si>
  <si>
    <t>See PCHG-01</t>
  </si>
  <si>
    <t>See PDAT-08</t>
  </si>
  <si>
    <t>Cirrus Identity is a United States based company with headquarters in California and corporate registration in Delaware. Cirrus Identity will handle personal data as specified by contract. Relevant laws, regulations, and applicable institutional policies must be specified in the contract agreement.</t>
  </si>
  <si>
    <t>Cirrus Identity has an annual training program and privacy will be added to the 2025 awareness content.</t>
  </si>
  <si>
    <t>The Cirrus Identity annual training program is mandatory for all staff.</t>
  </si>
  <si>
    <t xml:space="preserve">Not Applicable - Cirrus Identity doesn't offer AI capabilities in our services. </t>
  </si>
  <si>
    <t xml:space="preserve">The Cirrus Identity Privacy Policy (https://www.cirrusidentity.com/resources/trust-and-compliance-center) specifies in the Data Controller and Data Processor section, "...situations where release of data is required by law". </t>
  </si>
  <si>
    <t xml:space="preserve">Cirrus Identity does not have data sharing agreements with law enforcement agencies outside of instances where release of data is required by law.  </t>
  </si>
  <si>
    <t>The Dir of Compliance and Strategic Insights is both the designated Data Protection Officer and a member of the Incident Response Team.</t>
  </si>
  <si>
    <t>Cirrus Identity operates production workloads from AWS datacenters in the Unitied States (see PDAT-04). At the direction of the Customer, Cirrus Identity may process data collected from an individual in the EEA. Unless modified by contract, The Customer is the primary Data Controller and ultimately controls what data is processed by Cirrus Identity.</t>
  </si>
  <si>
    <t xml:space="preserve">The Dir of Compliance and Strategic Insights is the designated Data Protection Officer and the same contact as specified as "Solution Provider Contact" for this HECVAT submission. </t>
  </si>
  <si>
    <t>Cirrus Identity has signed a Data Protection Addendum (DPA) at the request of individual Customers as part of the contract.</t>
  </si>
  <si>
    <t>Cirrus Identity operates production workloads from AWS datacenters in the United States (see PDAT-04). Generally Cirrus Identity Customers do not use Cirrus Identity services to deliver services in the People's Republic of China (PRC). Unless modified by contract, The Customer is the primary Data Controller and ultimately controls what data is processed by Cirrus Identity.</t>
  </si>
  <si>
    <t>Cirrus Identity does not have operations in the People's Republic of China (PRC).</t>
  </si>
  <si>
    <t>The Cirrus Identity Privacy Policy (https://www.cirrusidentity.com/resources/trust-and-compliance-center) specifies the default data collected. The Customer is the primary Data Controller and ultimately controls what data is processed by Cirrus Identity.</t>
  </si>
  <si>
    <t>The Customer is the primary Data Controller and ultimately controls what data is processed by Cirrus Identity. Cirrus Identity will support the Customer in providing access to their personal information.</t>
  </si>
  <si>
    <t>The Customer is the primary Data Controller and ultimately controls what data is processed by Cirrus Identity. Cirrus Identity will support the Customer in dispute resolution.</t>
  </si>
  <si>
    <t>The Customer is the primary Data Controller and ultimately controls what data is processed by Cirrus Identity. Cirrus Identity will support the Customer in fullfilling stop-processing requests.</t>
  </si>
  <si>
    <t>Not applicable.</t>
  </si>
  <si>
    <t xml:space="preserve">From 2024-04-30 to 2025-05-01, there were two unplanned disruptions impacting general service availability (not related to implementation details of a specific customer). One impacted customers of the Cirrus Identity OrgBrandedID for a period of 34 minutes, and the other impacted customers of Cirrus Identity Invitation Service for a period of 2 hours. </t>
  </si>
  <si>
    <t>Cirrus Identity relies on the AWS Aurora native mechanisms for backup and any associated practices for physical backups</t>
  </si>
  <si>
    <t xml:space="preserve">Cirrus Identity products to do not have specific accessibility features. Product end-user interfaces are designed to meet accessibility by default. There is no documentation beyond what is presented in the ACR. </t>
  </si>
  <si>
    <t xml:space="preserve">Any deviations from accessibility conformance are addressed with a cure activity. The cure activity is documented in the form of an request in the Cirrus Identity Change Management Standard Operating Procedure (SOP). Assessment during the Change Management SOP will determine the delivery timeline. Customers may inquire about a specific activity by contacting Cirrus Identity Support (https://www.cirrusidentity.com/resources/support-center).  </t>
  </si>
  <si>
    <t>Accessibility is referenced in the Cirrus Identity Change Management Standard Operating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</si>
</sst>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61" x14ac:knownFonts="1">
    <font>
      <sz val="12"/>
      <color indexed="8"/>
      <name val="Verdana"/>
    </font>
    <font>
      <sz val="12"/>
      <color theme="0"/>
      <name val="Verdana"/>
      <family val="2"/>
    </font>
    <font>
      <b/>
      <sz val="20"/>
      <color theme="0"/>
      <name val="Verdana"/>
      <family val="2"/>
    </font>
    <font>
      <b/>
      <sz val="14"/>
      <color theme="1"/>
      <name val="Verdana"/>
      <family val="2"/>
    </font>
    <font>
      <sz val="11"/>
      <color indexed="8"/>
      <name val="Verdana"/>
      <family val="2"/>
    </font>
    <font>
      <b/>
      <sz val="12"/>
      <color theme="0"/>
      <name val="Verdana"/>
      <family val="2"/>
    </font>
    <font>
      <b/>
      <sz val="11"/>
      <color rgb="FF000000"/>
      <name val="Verdana"/>
      <family val="2"/>
    </font>
    <font>
      <sz val="11"/>
      <color rgb="FF000000"/>
      <name val="Verdana"/>
      <family val="2"/>
    </font>
    <font>
      <sz val="10"/>
      <color rgb="FF000000"/>
      <name val="Aptos Narrow"/>
      <family val="2"/>
      <scheme val="minor"/>
    </font>
    <font>
      <b/>
      <sz val="11"/>
      <color rgb="FF000000"/>
      <name val="Arial"/>
      <family val="2"/>
    </font>
    <font>
      <sz val="11"/>
      <color rgb="FF000000"/>
      <name val="Arial"/>
      <family val="2"/>
    </font>
    <font>
      <sz val="11"/>
      <color theme="1"/>
      <name val="Arial"/>
      <family val="2"/>
    </font>
    <font>
      <sz val="10"/>
      <color theme="1"/>
      <name val="Aptos Narrow"/>
      <family val="2"/>
      <scheme val="minor"/>
    </font>
    <font>
      <b/>
      <sz val="10"/>
      <color theme="1"/>
      <name val="Aptos Narrow"/>
      <family val="2"/>
      <scheme val="minor"/>
    </font>
    <font>
      <sz val="12"/>
      <color theme="1"/>
      <name val="Verdana"/>
      <family val="2"/>
    </font>
    <font>
      <b/>
      <sz val="11"/>
      <color rgb="FFFF0000"/>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b/>
      <sz val="14"/>
      <color rgb="FFFF0000"/>
      <name val="Verdana"/>
      <family val="2"/>
    </font>
    <font>
      <i/>
      <sz val="11"/>
      <color theme="1"/>
      <name val="Verdana"/>
      <family val="2"/>
    </font>
    <font>
      <sz val="11"/>
      <color rgb="FFFF0000"/>
      <name val="Verdana"/>
      <family val="2"/>
    </font>
    <font>
      <sz val="12"/>
      <color indexed="8"/>
      <name val="Verdana"/>
      <family val="2"/>
    </font>
    <font>
      <b/>
      <sz val="12"/>
      <color rgb="FF000000"/>
      <name val="Verdana"/>
      <family val="2"/>
    </font>
    <font>
      <b/>
      <sz val="12"/>
      <color indexed="8"/>
      <name val="Verdana"/>
      <family val="2"/>
    </font>
    <font>
      <u/>
      <sz val="12"/>
      <color theme="10"/>
      <name val="Verdana"/>
      <family val="2"/>
    </font>
    <font>
      <sz val="8"/>
      <name val="Verdana"/>
      <family val="2"/>
    </font>
    <font>
      <b/>
      <sz val="11"/>
      <color rgb="FF000000"/>
      <name val="Arial"/>
      <family val="2"/>
    </font>
    <font>
      <sz val="11"/>
      <name val="Verdana"/>
      <family val="2"/>
    </font>
    <font>
      <b/>
      <sz val="20"/>
      <name val="Verdana"/>
      <family val="2"/>
    </font>
    <font>
      <b/>
      <sz val="12"/>
      <name val="Verdana"/>
      <family val="2"/>
    </font>
    <font>
      <sz val="8"/>
      <name val="Verdana"/>
      <family val="2"/>
    </font>
    <font>
      <sz val="12"/>
      <color rgb="FFFF0000"/>
      <name val="Verdana"/>
      <family val="2"/>
    </font>
    <font>
      <sz val="11"/>
      <color theme="0"/>
      <name val="Verdana"/>
      <family val="2"/>
    </font>
    <font>
      <b/>
      <sz val="10"/>
      <color rgb="FF000000"/>
      <name val="Aptos Narrow"/>
      <family val="2"/>
      <scheme val="minor"/>
    </font>
    <font>
      <b/>
      <i/>
      <sz val="10"/>
      <color rgb="FF000000"/>
      <name val="Aptos Narrow"/>
      <family val="2"/>
      <scheme val="minor"/>
    </font>
    <font>
      <sz val="11"/>
      <color indexed="8"/>
      <name val="Arial"/>
      <family val="2"/>
    </font>
    <font>
      <u/>
      <sz val="12"/>
      <color theme="0"/>
      <name val="Verdana"/>
      <family val="2"/>
    </font>
    <font>
      <b/>
      <sz val="11"/>
      <color indexed="8"/>
      <name val="Arial"/>
      <family val="2"/>
    </font>
    <font>
      <b/>
      <i/>
      <sz val="14"/>
      <color theme="0"/>
      <name val="Verdana"/>
      <family val="2"/>
    </font>
    <font>
      <sz val="11"/>
      <color rgb="FFBF0000"/>
      <name val="Verdana"/>
      <family val="2"/>
    </font>
    <font>
      <b/>
      <i/>
      <sz val="20"/>
      <color theme="0"/>
      <name val="Verdana"/>
      <family val="2"/>
    </font>
    <font>
      <sz val="12"/>
      <name val="Verdana"/>
      <family val="2"/>
    </font>
    <font>
      <b/>
      <sz val="14"/>
      <name val="Verdana"/>
      <family val="2"/>
    </font>
    <font>
      <b/>
      <i/>
      <sz val="12"/>
      <color rgb="FF000000"/>
      <name val="Verdana"/>
      <family val="2"/>
    </font>
    <font>
      <b/>
      <i/>
      <sz val="12"/>
      <color indexed="8"/>
      <name val="Verdana"/>
      <family val="2"/>
    </font>
    <font>
      <b/>
      <sz val="11"/>
      <color theme="0"/>
      <name val="Verdana"/>
      <family val="2"/>
    </font>
    <font>
      <b/>
      <sz val="11"/>
      <name val="Verdana"/>
      <family val="2"/>
    </font>
    <font>
      <i/>
      <sz val="11"/>
      <color rgb="FF000000"/>
      <name val="Verdana"/>
      <family val="2"/>
    </font>
    <font>
      <sz val="11"/>
      <color rgb="FFFF0000"/>
      <name val="Arial"/>
      <family val="2"/>
    </font>
    <font>
      <sz val="10"/>
      <color theme="0"/>
      <name val="Aptos Narrow"/>
      <family val="2"/>
      <scheme val="minor"/>
    </font>
    <font>
      <b/>
      <i/>
      <sz val="14"/>
      <color rgb="FFFF0000"/>
      <name val="Verdana"/>
      <family val="2"/>
    </font>
    <font>
      <i/>
      <sz val="11"/>
      <color indexed="8"/>
      <name val="Verdana"/>
      <family val="2"/>
    </font>
    <font>
      <i/>
      <sz val="11"/>
      <name val="Verdana"/>
      <family val="2"/>
    </font>
    <font>
      <b/>
      <sz val="14"/>
      <color rgb="FF000000"/>
      <name val="Verdana"/>
      <family val="2"/>
    </font>
    <font>
      <b/>
      <i/>
      <sz val="11"/>
      <color theme="1"/>
      <name val="Verdana"/>
      <family val="2"/>
    </font>
    <font>
      <sz val="12"/>
      <color rgb="FFC00000"/>
      <name val="Verdana"/>
      <family val="2"/>
    </font>
    <font>
      <b/>
      <sz val="14"/>
      <color rgb="FFC00000"/>
      <name val="Verdana"/>
      <family val="2"/>
    </font>
    <font>
      <u/>
      <sz val="12"/>
      <color rgb="FFC00000"/>
      <name val="Verdana"/>
      <family val="2"/>
    </font>
    <font>
      <sz val="11"/>
      <color rgb="FF1D1C1D"/>
      <name val="Arial"/>
      <family val="2"/>
    </font>
  </fonts>
  <fills count="2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rgb="FFD9EAD3"/>
        <bgColor rgb="FFD9EAD3"/>
      </patternFill>
    </fill>
    <fill>
      <patternFill patternType="solid">
        <fgColor theme="7" tint="0.79998168889431442"/>
        <bgColor indexed="64"/>
      </patternFill>
    </fill>
    <fill>
      <patternFill patternType="solid">
        <fgColor rgb="FFE6B8AF"/>
        <bgColor rgb="FFE6B8AF"/>
      </patternFill>
    </fill>
    <fill>
      <patternFill patternType="solid">
        <fgColor rgb="FFB7E1CD"/>
        <bgColor rgb="FFB7E1CD"/>
      </patternFill>
    </fill>
    <fill>
      <patternFill patternType="solid">
        <fgColor rgb="FFD9D2E9"/>
        <bgColor rgb="FFD9D2E9"/>
      </patternFill>
    </fill>
    <fill>
      <patternFill patternType="solid">
        <fgColor theme="0"/>
        <bgColor indexed="64"/>
      </patternFill>
    </fill>
    <fill>
      <patternFill patternType="solid">
        <fgColor rgb="FFFFFFFF"/>
        <bgColor indexed="64"/>
      </patternFill>
    </fill>
    <fill>
      <patternFill patternType="solid">
        <fgColor theme="3" tint="0.749992370372631"/>
        <bgColor indexed="64"/>
      </patternFill>
    </fill>
    <fill>
      <patternFill patternType="solid">
        <fgColor theme="3" tint="0.749992370372631"/>
        <bgColor rgb="FFD9EAD3"/>
      </patternFill>
    </fill>
    <fill>
      <patternFill patternType="solid">
        <fgColor theme="3" tint="0.749992370372631"/>
        <bgColor rgb="FFD9D2E9"/>
      </patternFill>
    </fill>
    <fill>
      <patternFill patternType="solid">
        <fgColor theme="8" tint="0.79998168889431442"/>
        <bgColor rgb="FFD9D2E9"/>
      </patternFill>
    </fill>
    <fill>
      <patternFill patternType="solid">
        <fgColor rgb="FFD0DAF0"/>
        <bgColor indexed="64"/>
      </patternFill>
    </fill>
    <fill>
      <patternFill patternType="solid">
        <fgColor rgb="FF00636C"/>
        <bgColor indexed="64"/>
      </patternFill>
    </fill>
    <fill>
      <patternFill patternType="solid">
        <fgColor rgb="FFE0B233"/>
        <bgColor indexed="64"/>
      </patternFill>
    </fill>
    <fill>
      <patternFill patternType="solid">
        <fgColor rgb="FF7ECCA0"/>
        <bgColor indexed="64"/>
      </patternFill>
    </fill>
    <fill>
      <patternFill patternType="solid">
        <fgColor rgb="FF4C6BB3"/>
        <bgColor indexed="64"/>
      </patternFill>
    </fill>
    <fill>
      <patternFill patternType="solid">
        <fgColor rgb="FFE0B233"/>
        <bgColor theme="4"/>
      </patternFill>
    </fill>
    <fill>
      <patternFill patternType="solid">
        <fgColor rgb="FFFDEEC5"/>
        <bgColor indexed="64"/>
      </patternFill>
    </fill>
    <fill>
      <patternFill patternType="solid">
        <fgColor rgb="FFBF0000"/>
        <bgColor indexed="64"/>
      </patternFill>
    </fill>
    <fill>
      <patternFill patternType="solid">
        <fgColor theme="2" tint="-9.9978637043366805E-2"/>
        <bgColor indexed="64"/>
      </patternFill>
    </fill>
  </fills>
  <borders count="6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diagonal/>
    </border>
    <border>
      <left style="medium">
        <color indexed="64"/>
      </left>
      <right style="thin">
        <color auto="1"/>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thin">
        <color auto="1"/>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indexed="64"/>
      </right>
      <top style="thin">
        <color indexed="64"/>
      </top>
      <bottom/>
      <diagonal/>
    </border>
    <border>
      <left/>
      <right style="medium">
        <color indexed="64"/>
      </right>
      <top/>
      <bottom/>
      <diagonal/>
    </border>
  </borders>
  <cellStyleXfs count="4">
    <xf numFmtId="0" fontId="0" fillId="0" borderId="0" applyNumberFormat="0" applyFill="0" applyBorder="0" applyProtection="0">
      <alignment vertical="top" wrapText="1"/>
    </xf>
    <xf numFmtId="0" fontId="8" fillId="0" borderId="0"/>
    <xf numFmtId="0" fontId="26" fillId="0" borderId="0" applyNumberFormat="0" applyFill="0" applyBorder="0" applyAlignment="0" applyProtection="0">
      <alignment vertical="top" wrapText="1"/>
    </xf>
    <xf numFmtId="0" fontId="23" fillId="0" borderId="0" applyNumberFormat="0" applyFill="0" applyBorder="0" applyProtection="0">
      <alignment vertical="top" wrapText="1"/>
    </xf>
  </cellStyleXfs>
  <cellXfs count="364">
    <xf numFmtId="0" fontId="0" fillId="0" borderId="0" xfId="0">
      <alignment vertical="top" wrapText="1"/>
    </xf>
    <xf numFmtId="0" fontId="4" fillId="0" borderId="0" xfId="0" applyNumberFormat="1" applyFont="1" applyAlignment="1"/>
    <xf numFmtId="0" fontId="9" fillId="0" borderId="4" xfId="1" applyFont="1" applyBorder="1" applyAlignment="1">
      <alignment vertical="top" wrapText="1"/>
    </xf>
    <xf numFmtId="0" fontId="9" fillId="5" borderId="4" xfId="1" applyFont="1" applyFill="1" applyBorder="1" applyAlignment="1">
      <alignment vertical="top" wrapText="1"/>
    </xf>
    <xf numFmtId="0" fontId="9" fillId="6" borderId="4" xfId="1" applyFont="1" applyFill="1" applyBorder="1" applyAlignment="1">
      <alignment vertical="top" wrapText="1"/>
    </xf>
    <xf numFmtId="0" fontId="9" fillId="7" borderId="4" xfId="1" applyFont="1" applyFill="1" applyBorder="1" applyAlignment="1">
      <alignment vertical="top" wrapText="1"/>
    </xf>
    <xf numFmtId="0" fontId="9" fillId="8" borderId="4" xfId="1" applyFont="1" applyFill="1" applyBorder="1" applyAlignment="1">
      <alignment vertical="top" wrapText="1"/>
    </xf>
    <xf numFmtId="0" fontId="9" fillId="9" borderId="4" xfId="1" applyFont="1" applyFill="1" applyBorder="1" applyAlignment="1">
      <alignment vertical="top" wrapText="1"/>
    </xf>
    <xf numFmtId="0" fontId="8" fillId="0" borderId="0" xfId="1" applyAlignment="1">
      <alignment vertical="top" wrapText="1"/>
    </xf>
    <xf numFmtId="0" fontId="11" fillId="0" borderId="0" xfId="1" applyFont="1" applyAlignment="1">
      <alignment vertical="top" wrapText="1"/>
    </xf>
    <xf numFmtId="0" fontId="10" fillId="0" borderId="0" xfId="1" applyFont="1" applyAlignment="1">
      <alignment vertical="top" wrapText="1"/>
    </xf>
    <xf numFmtId="0" fontId="8" fillId="0" borderId="0" xfId="1"/>
    <xf numFmtId="0" fontId="12" fillId="0" borderId="0" xfId="1" applyFont="1"/>
    <xf numFmtId="0" fontId="13" fillId="0" borderId="0" xfId="1" applyFont="1"/>
    <xf numFmtId="0" fontId="4" fillId="0" borderId="0" xfId="0" applyNumberFormat="1" applyFont="1" applyAlignment="1">
      <alignment horizontal="center" vertical="center"/>
    </xf>
    <xf numFmtId="0" fontId="4" fillId="0" borderId="0" xfId="0" applyNumberFormat="1" applyFont="1" applyAlignment="1">
      <alignment wrapText="1"/>
    </xf>
    <xf numFmtId="0" fontId="15" fillId="0" borderId="0" xfId="0" applyNumberFormat="1" applyFont="1" applyBorder="1" applyAlignment="1">
      <alignment wrapText="1"/>
    </xf>
    <xf numFmtId="0" fontId="19" fillId="3" borderId="6" xfId="0" applyNumberFormat="1" applyFont="1" applyFill="1" applyBorder="1" applyAlignment="1">
      <alignment vertical="center"/>
    </xf>
    <xf numFmtId="0" fontId="19" fillId="3" borderId="3" xfId="0" applyNumberFormat="1" applyFont="1" applyFill="1" applyBorder="1" applyAlignment="1">
      <alignment vertical="center"/>
    </xf>
    <xf numFmtId="0" fontId="19" fillId="3" borderId="6" xfId="0" applyNumberFormat="1" applyFont="1" applyFill="1" applyBorder="1" applyAlignment="1">
      <alignment horizontal="center" vertical="center" wrapText="1"/>
    </xf>
    <xf numFmtId="1" fontId="19" fillId="3" borderId="6" xfId="0" applyNumberFormat="1" applyFont="1" applyFill="1" applyBorder="1" applyAlignment="1">
      <alignment horizontal="left" vertical="center" wrapText="1"/>
    </xf>
    <xf numFmtId="1" fontId="20" fillId="3" borderId="6" xfId="0" applyNumberFormat="1" applyFont="1" applyFill="1" applyBorder="1" applyAlignment="1">
      <alignment horizontal="left" vertical="center" wrapText="1"/>
    </xf>
    <xf numFmtId="0" fontId="14" fillId="4" borderId="0" xfId="0" applyNumberFormat="1" applyFont="1" applyFill="1" applyBorder="1" applyAlignment="1">
      <alignment vertical="center"/>
    </xf>
    <xf numFmtId="1" fontId="20" fillId="3" borderId="3" xfId="0" applyNumberFormat="1" applyFont="1" applyFill="1" applyBorder="1" applyAlignment="1">
      <alignment horizontal="left" vertical="center" wrapText="1"/>
    </xf>
    <xf numFmtId="0" fontId="16" fillId="2" borderId="8" xfId="0" applyNumberFormat="1" applyFont="1" applyFill="1" applyBorder="1" applyAlignment="1">
      <alignment horizontal="left" vertical="center" wrapText="1"/>
    </xf>
    <xf numFmtId="0" fontId="4" fillId="2" borderId="3" xfId="0" applyFont="1" applyFill="1" applyBorder="1" applyAlignment="1">
      <alignment vertical="center" wrapText="1"/>
    </xf>
    <xf numFmtId="0" fontId="16" fillId="2" borderId="3" xfId="0" applyNumberFormat="1" applyFont="1" applyFill="1" applyBorder="1" applyAlignment="1">
      <alignment horizontal="left" vertical="center" wrapText="1"/>
    </xf>
    <xf numFmtId="0" fontId="16" fillId="10" borderId="3" xfId="0" applyNumberFormat="1" applyFont="1" applyFill="1" applyBorder="1" applyAlignment="1">
      <alignment horizontal="center" vertical="center" wrapText="1"/>
    </xf>
    <xf numFmtId="1" fontId="22" fillId="2" borderId="8" xfId="0" applyNumberFormat="1" applyFont="1" applyFill="1" applyBorder="1" applyAlignment="1">
      <alignment vertical="center" wrapText="1"/>
    </xf>
    <xf numFmtId="0" fontId="19" fillId="3" borderId="2" xfId="0" applyNumberFormat="1" applyFont="1" applyFill="1" applyBorder="1" applyAlignment="1">
      <alignment vertical="center"/>
    </xf>
    <xf numFmtId="0" fontId="23" fillId="0" borderId="0" xfId="0" applyFont="1">
      <alignment vertical="top" wrapText="1"/>
    </xf>
    <xf numFmtId="0" fontId="3" fillId="2" borderId="0" xfId="0" applyNumberFormat="1" applyFont="1" applyFill="1" applyBorder="1" applyAlignment="1">
      <alignment vertical="center"/>
    </xf>
    <xf numFmtId="0" fontId="6" fillId="0" borderId="0" xfId="0" applyFont="1" applyFill="1" applyBorder="1" applyAlignment="1">
      <alignment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5" fillId="0" borderId="0" xfId="0" applyFont="1" applyAlignment="1">
      <alignment horizontal="center" vertical="center" wrapText="1"/>
    </xf>
    <xf numFmtId="0" fontId="23" fillId="0" borderId="15" xfId="0" applyFont="1" applyBorder="1" applyAlignment="1">
      <alignment horizontal="center" vertical="center" wrapText="1"/>
    </xf>
    <xf numFmtId="0" fontId="19" fillId="3" borderId="6" xfId="0" applyNumberFormat="1" applyFont="1" applyFill="1" applyBorder="1" applyAlignment="1">
      <alignment horizontal="center" vertical="center"/>
    </xf>
    <xf numFmtId="0" fontId="21" fillId="0" borderId="5" xfId="0" applyNumberFormat="1" applyFont="1" applyFill="1" applyBorder="1" applyAlignment="1">
      <alignment vertical="center" wrapText="1"/>
    </xf>
    <xf numFmtId="0" fontId="21" fillId="0" borderId="5" xfId="0" applyNumberFormat="1" applyFont="1" applyFill="1" applyBorder="1" applyAlignment="1">
      <alignment vertical="center"/>
    </xf>
    <xf numFmtId="0" fontId="23" fillId="0" borderId="3" xfId="0" applyFont="1" applyBorder="1" applyAlignment="1">
      <alignment vertical="center" wrapText="1"/>
    </xf>
    <xf numFmtId="0" fontId="29" fillId="0" borderId="0" xfId="0" applyNumberFormat="1" applyFont="1" applyAlignment="1"/>
    <xf numFmtId="164" fontId="18" fillId="10" borderId="5" xfId="0" applyNumberFormat="1" applyFont="1" applyFill="1" applyBorder="1" applyAlignment="1">
      <alignment horizontal="left" vertical="center"/>
    </xf>
    <xf numFmtId="0" fontId="17" fillId="2" borderId="1" xfId="0" applyNumberFormat="1" applyFont="1" applyFill="1" applyBorder="1" applyAlignment="1">
      <alignment vertical="center"/>
    </xf>
    <xf numFmtId="0" fontId="17" fillId="2" borderId="2" xfId="0" applyNumberFormat="1" applyFont="1" applyFill="1" applyBorder="1" applyAlignment="1">
      <alignment vertical="center"/>
    </xf>
    <xf numFmtId="0" fontId="29" fillId="11" borderId="3" xfId="0" applyFont="1" applyFill="1" applyBorder="1" applyAlignment="1">
      <alignment vertical="center" wrapText="1"/>
    </xf>
    <xf numFmtId="0" fontId="15" fillId="0" borderId="0" xfId="0" applyNumberFormat="1" applyFont="1" applyBorder="1" applyAlignment="1">
      <alignment vertical="center" wrapText="1"/>
    </xf>
    <xf numFmtId="0" fontId="4" fillId="0" borderId="0" xfId="0" applyNumberFormat="1" applyFont="1" applyAlignment="1">
      <alignment vertical="center"/>
    </xf>
    <xf numFmtId="0" fontId="17" fillId="4" borderId="0" xfId="0" applyNumberFormat="1" applyFont="1" applyFill="1" applyBorder="1" applyAlignment="1">
      <alignment vertical="center"/>
    </xf>
    <xf numFmtId="0" fontId="24"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3" fillId="0" borderId="16" xfId="0" applyFont="1" applyBorder="1" applyAlignment="1">
      <alignment horizontal="center" vertical="center" wrapText="1"/>
      <extLst>
        <ext xmlns:xfpb="http://schemas.microsoft.com/office/spreadsheetml/2022/featurepropertybag" uri="{C7286773-470A-42A8-94C5-96B5CB345126}">
          <xfpb:xfComplement i="0"/>
        </ext>
      </extLst>
    </xf>
    <xf numFmtId="0" fontId="23" fillId="0" borderId="21"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2" xfId="0" applyNumberFormat="1" applyFont="1" applyBorder="1" applyAlignment="1"/>
    <xf numFmtId="0" fontId="1" fillId="0" borderId="0" xfId="3" applyFont="1" applyAlignment="1">
      <alignment vertical="top" shrinkToFit="1"/>
    </xf>
    <xf numFmtId="0" fontId="4" fillId="0" borderId="0" xfId="3" applyNumberFormat="1" applyFont="1" applyAlignment="1"/>
    <xf numFmtId="0" fontId="4" fillId="0" borderId="0" xfId="3" applyNumberFormat="1" applyFont="1" applyAlignment="1">
      <alignment horizontal="center" vertical="center"/>
    </xf>
    <xf numFmtId="0" fontId="4" fillId="0" borderId="0" xfId="3" applyNumberFormat="1" applyFont="1" applyAlignment="1">
      <alignment wrapText="1"/>
    </xf>
    <xf numFmtId="0" fontId="23" fillId="0" borderId="0" xfId="3">
      <alignment vertical="top" wrapText="1"/>
    </xf>
    <xf numFmtId="0" fontId="19" fillId="3" borderId="3" xfId="3" applyNumberFormat="1" applyFont="1" applyFill="1" applyBorder="1" applyAlignment="1">
      <alignment horizontal="center" vertical="center" wrapText="1"/>
    </xf>
    <xf numFmtId="0" fontId="16" fillId="2" borderId="3" xfId="3" applyNumberFormat="1" applyFont="1" applyFill="1" applyBorder="1" applyAlignment="1">
      <alignment vertical="center" wrapText="1"/>
    </xf>
    <xf numFmtId="0" fontId="1" fillId="0" borderId="0" xfId="3" applyFont="1" applyFill="1" applyAlignment="1">
      <alignment vertical="top" shrinkToFit="1"/>
    </xf>
    <xf numFmtId="0" fontId="23" fillId="0" borderId="0" xfId="3" applyAlignment="1">
      <alignment horizontal="left" vertical="center" wrapText="1"/>
    </xf>
    <xf numFmtId="0" fontId="23" fillId="0" borderId="0" xfId="3" applyFill="1">
      <alignment vertical="top" wrapText="1"/>
    </xf>
    <xf numFmtId="0" fontId="14" fillId="4" borderId="0" xfId="3" applyNumberFormat="1" applyFont="1" applyFill="1" applyBorder="1" applyAlignment="1">
      <alignment horizontal="left" vertical="center" wrapText="1"/>
    </xf>
    <xf numFmtId="0" fontId="8" fillId="0" borderId="0" xfId="1" applyAlignment="1">
      <alignment horizontal="center"/>
    </xf>
    <xf numFmtId="0" fontId="19" fillId="3" borderId="3" xfId="3" applyNumberFormat="1" applyFont="1" applyFill="1" applyBorder="1" applyAlignment="1">
      <alignment vertical="center"/>
    </xf>
    <xf numFmtId="0" fontId="16" fillId="2" borderId="3" xfId="3" applyNumberFormat="1" applyFont="1" applyFill="1" applyBorder="1" applyAlignment="1">
      <alignment vertical="center"/>
    </xf>
    <xf numFmtId="0" fontId="3" fillId="2" borderId="0" xfId="3" applyNumberFormat="1" applyFont="1" applyFill="1" applyBorder="1" applyAlignment="1">
      <alignment vertical="center"/>
    </xf>
    <xf numFmtId="164" fontId="18" fillId="10" borderId="1" xfId="0"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NumberFormat="1" applyFont="1" applyAlignment="1">
      <alignment horizontal="center" wrapText="1"/>
    </xf>
    <xf numFmtId="0" fontId="29"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23" fillId="0" borderId="16" xfId="0" applyFont="1" applyBorder="1" applyAlignment="1">
      <alignment horizontal="center" vertical="center" wrapText="1"/>
    </xf>
    <xf numFmtId="0" fontId="21" fillId="0" borderId="1" xfId="0" applyNumberFormat="1" applyFont="1" applyFill="1" applyBorder="1" applyAlignment="1">
      <alignment horizontal="left" vertical="center"/>
    </xf>
    <xf numFmtId="0" fontId="29" fillId="0" borderId="1" xfId="0" applyNumberFormat="1" applyFont="1" applyFill="1" applyBorder="1" applyAlignment="1">
      <alignment horizontal="left" vertical="center"/>
    </xf>
    <xf numFmtId="0" fontId="17" fillId="2" borderId="5" xfId="0" applyNumberFormat="1" applyFont="1" applyFill="1" applyBorder="1" applyAlignment="1">
      <alignment vertical="center"/>
    </xf>
    <xf numFmtId="0" fontId="16" fillId="2" borderId="1" xfId="0" applyNumberFormat="1" applyFont="1" applyFill="1" applyBorder="1" applyAlignment="1">
      <alignment horizontal="left" vertical="center" wrapText="1"/>
    </xf>
    <xf numFmtId="1" fontId="20" fillId="3" borderId="25" xfId="0" applyNumberFormat="1" applyFont="1" applyFill="1" applyBorder="1" applyAlignment="1">
      <alignment horizontal="left" vertical="center" wrapText="1"/>
    </xf>
    <xf numFmtId="9" fontId="6" fillId="2" borderId="29" xfId="3" applyNumberFormat="1" applyFont="1" applyFill="1" applyBorder="1" applyAlignment="1">
      <alignment horizontal="center" vertical="center" wrapText="1"/>
    </xf>
    <xf numFmtId="0" fontId="6" fillId="2" borderId="32"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23" fillId="0" borderId="0" xfId="3" applyAlignment="1">
      <alignment vertical="center" wrapText="1"/>
    </xf>
    <xf numFmtId="0" fontId="7" fillId="0" borderId="34" xfId="3" applyFont="1" applyBorder="1" applyAlignment="1">
      <alignment vertical="center"/>
    </xf>
    <xf numFmtId="0" fontId="6" fillId="2" borderId="29" xfId="3" applyFont="1" applyFill="1" applyBorder="1" applyAlignment="1">
      <alignment horizontal="center" vertical="center" wrapText="1"/>
    </xf>
    <xf numFmtId="0" fontId="33" fillId="0" borderId="0" xfId="3" applyFont="1" applyAlignment="1">
      <alignment vertical="center" wrapText="1"/>
    </xf>
    <xf numFmtId="0" fontId="33" fillId="0" borderId="0" xfId="3" applyFont="1" applyAlignment="1">
      <alignment horizontal="center" vertical="center" wrapText="1"/>
    </xf>
    <xf numFmtId="0" fontId="4" fillId="0" borderId="0" xfId="3" applyFont="1" applyAlignment="1">
      <alignment vertical="center" wrapText="1"/>
    </xf>
    <xf numFmtId="0" fontId="6" fillId="0" borderId="0" xfId="3" applyFont="1" applyBorder="1" applyAlignment="1">
      <alignment vertical="center" wrapText="1"/>
    </xf>
    <xf numFmtId="0" fontId="7" fillId="0" borderId="0" xfId="3" applyFont="1" applyFill="1" applyBorder="1" applyAlignment="1">
      <alignment horizontal="left" vertical="center"/>
    </xf>
    <xf numFmtId="0" fontId="35" fillId="0" borderId="0" xfId="1" applyFont="1"/>
    <xf numFmtId="0" fontId="36" fillId="0" borderId="0" xfId="1" applyFont="1"/>
    <xf numFmtId="0" fontId="36" fillId="0" borderId="0" xfId="1" applyFont="1" applyAlignment="1">
      <alignment horizontal="center"/>
    </xf>
    <xf numFmtId="0" fontId="4" fillId="0" borderId="0" xfId="3" applyFont="1" applyBorder="1" applyAlignment="1">
      <alignment horizontal="left" vertical="center"/>
    </xf>
    <xf numFmtId="0" fontId="4" fillId="0" borderId="0" xfId="3" applyFont="1" applyBorder="1" applyAlignment="1">
      <alignment horizontal="left" vertical="center" wrapText="1"/>
    </xf>
    <xf numFmtId="0" fontId="4" fillId="0" borderId="5" xfId="3" applyFont="1" applyBorder="1" applyAlignment="1">
      <alignment horizontal="left" vertical="center"/>
    </xf>
    <xf numFmtId="0" fontId="3" fillId="2" borderId="0" xfId="3" applyNumberFormat="1" applyFont="1" applyFill="1" applyBorder="1" applyAlignment="1">
      <alignment horizontal="left" vertical="center"/>
    </xf>
    <xf numFmtId="0" fontId="19" fillId="3" borderId="10" xfId="3" applyNumberFormat="1" applyFont="1" applyFill="1" applyBorder="1" applyAlignment="1">
      <alignment horizontal="left" vertical="center"/>
    </xf>
    <xf numFmtId="0" fontId="19" fillId="3" borderId="0" xfId="3" applyNumberFormat="1" applyFont="1" applyFill="1" applyBorder="1" applyAlignment="1">
      <alignment horizontal="left" vertical="center"/>
    </xf>
    <xf numFmtId="0" fontId="0" fillId="0" borderId="0" xfId="0" applyBorder="1">
      <alignment vertical="top" wrapText="1"/>
    </xf>
    <xf numFmtId="0" fontId="9" fillId="12" borderId="0" xfId="1" applyFont="1" applyFill="1" applyAlignment="1">
      <alignment horizontal="center" vertical="center" wrapText="1"/>
    </xf>
    <xf numFmtId="0" fontId="9" fillId="13" borderId="0" xfId="1" applyFont="1" applyFill="1" applyAlignment="1">
      <alignment horizontal="center" vertical="center" wrapText="1"/>
    </xf>
    <xf numFmtId="0" fontId="28" fillId="13" borderId="0" xfId="1" applyFont="1" applyFill="1" applyAlignment="1">
      <alignment horizontal="center" vertical="center" wrapText="1"/>
    </xf>
    <xf numFmtId="0" fontId="28" fillId="14" borderId="0" xfId="1" applyFont="1" applyFill="1" applyAlignment="1">
      <alignment horizontal="center" vertical="center" wrapText="1"/>
    </xf>
    <xf numFmtId="0" fontId="9" fillId="14" borderId="0" xfId="1" applyFont="1" applyFill="1" applyAlignment="1">
      <alignment horizontal="center" vertical="center" wrapText="1"/>
    </xf>
    <xf numFmtId="0" fontId="37" fillId="0" borderId="0" xfId="0" applyFont="1" applyBorder="1">
      <alignment vertical="top" wrapText="1"/>
    </xf>
    <xf numFmtId="0" fontId="28" fillId="12" borderId="0" xfId="1" applyFont="1" applyFill="1" applyAlignment="1">
      <alignment horizontal="center" vertical="center" wrapText="1"/>
    </xf>
    <xf numFmtId="0" fontId="6" fillId="2" borderId="31" xfId="3" applyFont="1" applyFill="1" applyBorder="1" applyAlignment="1">
      <alignment horizontal="center" vertical="center" wrapText="1"/>
    </xf>
    <xf numFmtId="0" fontId="6" fillId="2" borderId="30" xfId="3" applyFont="1" applyFill="1" applyBorder="1" applyAlignment="1">
      <alignment horizontal="center" vertical="center" wrapText="1"/>
    </xf>
    <xf numFmtId="3" fontId="7" fillId="0" borderId="6" xfId="3" applyNumberFormat="1" applyFont="1" applyBorder="1" applyAlignment="1">
      <alignment horizontal="center" vertical="center" wrapText="1"/>
    </xf>
    <xf numFmtId="3" fontId="6" fillId="2" borderId="32" xfId="3" applyNumberFormat="1" applyFont="1" applyFill="1" applyBorder="1" applyAlignment="1">
      <alignment horizontal="center" vertical="center" wrapText="1"/>
    </xf>
    <xf numFmtId="0" fontId="6" fillId="10" borderId="33" xfId="3" applyFont="1" applyFill="1" applyBorder="1" applyAlignment="1">
      <alignment horizontal="left" vertical="center" wrapText="1"/>
    </xf>
    <xf numFmtId="0" fontId="6" fillId="10" borderId="30" xfId="3" applyFont="1" applyFill="1" applyBorder="1" applyAlignment="1">
      <alignment horizontal="center" vertical="center" wrapText="1"/>
    </xf>
    <xf numFmtId="3" fontId="6" fillId="10" borderId="32" xfId="3" applyNumberFormat="1" applyFont="1" applyFill="1" applyBorder="1" applyAlignment="1">
      <alignment horizontal="center" vertical="center" wrapText="1"/>
    </xf>
    <xf numFmtId="9" fontId="6" fillId="10" borderId="29" xfId="3" applyNumberFormat="1" applyFont="1" applyFill="1" applyBorder="1" applyAlignment="1">
      <alignment horizontal="center" vertical="center" wrapText="1"/>
    </xf>
    <xf numFmtId="0" fontId="7" fillId="0" borderId="24" xfId="3" applyFont="1" applyBorder="1" applyAlignment="1">
      <alignment vertical="center"/>
      <extLst>
        <ext xmlns:xfpb="http://schemas.microsoft.com/office/spreadsheetml/2022/featurepropertybag" uri="{C7286773-470A-42A8-94C5-96B5CB345126}">
          <xfpb:xfComplement i="0"/>
        </ext>
      </extLst>
    </xf>
    <xf numFmtId="3" fontId="7" fillId="0" borderId="8" xfId="3" applyNumberFormat="1" applyFont="1" applyBorder="1" applyAlignment="1">
      <alignment horizontal="center" vertical="center" wrapText="1"/>
    </xf>
    <xf numFmtId="0" fontId="23" fillId="0" borderId="5" xfId="3" applyBorder="1" applyAlignment="1">
      <alignment vertical="center" wrapText="1"/>
    </xf>
    <xf numFmtId="0" fontId="23" fillId="0" borderId="22" xfId="3" applyBorder="1" applyAlignment="1">
      <alignment vertical="center" wrapText="1"/>
    </xf>
    <xf numFmtId="0" fontId="23" fillId="0" borderId="7" xfId="3" applyBorder="1" applyAlignment="1">
      <alignment vertical="center" wrapText="1"/>
    </xf>
    <xf numFmtId="0" fontId="23" fillId="0" borderId="37" xfId="3" applyBorder="1" applyAlignment="1">
      <alignment vertical="center" wrapText="1"/>
    </xf>
    <xf numFmtId="0" fontId="23" fillId="0" borderId="38" xfId="3" applyBorder="1" applyAlignment="1">
      <alignment vertical="center" wrapText="1"/>
    </xf>
    <xf numFmtId="0" fontId="23" fillId="0" borderId="39" xfId="3" applyBorder="1" applyAlignment="1">
      <alignment vertical="center" wrapText="1"/>
    </xf>
    <xf numFmtId="0" fontId="6" fillId="2" borderId="12" xfId="3" applyFont="1" applyFill="1" applyBorder="1" applyAlignment="1">
      <alignment horizontal="center" vertical="center" wrapText="1"/>
    </xf>
    <xf numFmtId="0" fontId="6" fillId="2" borderId="28" xfId="3" applyFont="1" applyFill="1" applyBorder="1" applyAlignment="1">
      <alignment horizontal="center" vertical="center" wrapText="1"/>
    </xf>
    <xf numFmtId="0" fontId="6" fillId="2" borderId="27" xfId="3" applyFont="1" applyFill="1" applyBorder="1" applyAlignment="1">
      <alignment horizontal="center" vertical="center" wrapText="1"/>
    </xf>
    <xf numFmtId="9" fontId="6" fillId="2" borderId="12" xfId="3" applyNumberFormat="1" applyFont="1" applyFill="1" applyBorder="1" applyAlignment="1">
      <alignment horizontal="center" vertical="center" wrapText="1"/>
    </xf>
    <xf numFmtId="9" fontId="6" fillId="2" borderId="28" xfId="3" applyNumberFormat="1" applyFont="1" applyFill="1" applyBorder="1" applyAlignment="1">
      <alignment horizontal="center" vertical="center" wrapText="1"/>
    </xf>
    <xf numFmtId="9" fontId="6" fillId="2" borderId="27" xfId="3" applyNumberFormat="1" applyFont="1" applyFill="1" applyBorder="1" applyAlignment="1">
      <alignment horizontal="center" vertical="center" wrapText="1"/>
    </xf>
    <xf numFmtId="0" fontId="26" fillId="3" borderId="6" xfId="2" applyNumberFormat="1" applyFill="1" applyBorder="1" applyAlignment="1">
      <alignment horizontal="center" vertical="center"/>
    </xf>
    <xf numFmtId="0" fontId="38" fillId="3" borderId="6" xfId="2" applyNumberFormat="1" applyFont="1" applyFill="1" applyBorder="1" applyAlignment="1">
      <alignment horizontal="center" vertical="center"/>
    </xf>
    <xf numFmtId="0" fontId="34" fillId="0" borderId="0" xfId="3" applyFont="1" applyBorder="1" applyAlignment="1" applyProtection="1">
      <alignment vertical="center" shrinkToFit="1"/>
    </xf>
    <xf numFmtId="0" fontId="4" fillId="0" borderId="0" xfId="3" applyFont="1" applyBorder="1" applyAlignment="1">
      <alignment vertical="center" wrapText="1"/>
    </xf>
    <xf numFmtId="0" fontId="4" fillId="0" borderId="1" xfId="3" applyFont="1" applyBorder="1" applyAlignment="1">
      <alignment horizontal="left" vertical="center"/>
    </xf>
    <xf numFmtId="0" fontId="4" fillId="0" borderId="43" xfId="3" applyFont="1" applyBorder="1" applyAlignment="1">
      <alignment horizontal="left" vertical="center"/>
    </xf>
    <xf numFmtId="0" fontId="4" fillId="0" borderId="44" xfId="3" applyFont="1" applyBorder="1" applyAlignment="1">
      <alignment horizontal="left" vertical="center"/>
    </xf>
    <xf numFmtId="0" fontId="6" fillId="0" borderId="45" xfId="3" applyFont="1" applyBorder="1" applyAlignment="1">
      <alignment vertical="center" wrapText="1"/>
    </xf>
    <xf numFmtId="0" fontId="6" fillId="0" borderId="38" xfId="3" applyFont="1" applyBorder="1" applyAlignment="1">
      <alignment vertical="center" wrapText="1"/>
    </xf>
    <xf numFmtId="0" fontId="4" fillId="0" borderId="48" xfId="3" applyFont="1" applyBorder="1" applyAlignment="1">
      <alignment horizontal="left" vertical="center"/>
    </xf>
    <xf numFmtId="0" fontId="6" fillId="0" borderId="49" xfId="3" applyFont="1" applyBorder="1" applyAlignment="1">
      <alignment vertical="center" wrapText="1"/>
    </xf>
    <xf numFmtId="0" fontId="6" fillId="2" borderId="42" xfId="3" applyFont="1" applyFill="1" applyBorder="1" applyAlignment="1">
      <alignment vertical="center" wrapText="1"/>
    </xf>
    <xf numFmtId="0" fontId="6" fillId="2" borderId="2" xfId="3" applyFont="1" applyFill="1" applyBorder="1" applyAlignment="1">
      <alignment vertical="center" wrapText="1"/>
    </xf>
    <xf numFmtId="0" fontId="6" fillId="2" borderId="47" xfId="3" applyFont="1" applyFill="1" applyBorder="1" applyAlignment="1">
      <alignment vertical="center" wrapText="1"/>
    </xf>
    <xf numFmtId="9" fontId="7" fillId="10" borderId="3" xfId="3" applyNumberFormat="1" applyFont="1" applyFill="1" applyBorder="1" applyAlignment="1">
      <alignment horizontal="center" vertical="center" wrapText="1"/>
    </xf>
    <xf numFmtId="9" fontId="7" fillId="10" borderId="6" xfId="3" applyNumberFormat="1" applyFont="1" applyFill="1" applyBorder="1" applyAlignment="1">
      <alignment horizontal="center" vertical="center" wrapText="1"/>
    </xf>
    <xf numFmtId="0" fontId="7" fillId="0" borderId="36" xfId="3" applyFont="1" applyBorder="1" applyAlignment="1">
      <alignment vertical="center"/>
    </xf>
    <xf numFmtId="0" fontId="7" fillId="0" borderId="40" xfId="3" applyFont="1" applyBorder="1" applyAlignment="1">
      <alignment vertical="center"/>
      <extLst>
        <ext xmlns:xfpb="http://schemas.microsoft.com/office/spreadsheetml/2022/featurepropertybag" uri="{C7286773-470A-42A8-94C5-96B5CB345126}">
          <xfpb:xfComplement i="0"/>
        </ext>
      </extLst>
    </xf>
    <xf numFmtId="3" fontId="7" fillId="0" borderId="35" xfId="3" applyNumberFormat="1" applyFont="1" applyBorder="1" applyAlignment="1">
      <alignment horizontal="center" vertical="center" wrapText="1"/>
    </xf>
    <xf numFmtId="9" fontId="7" fillId="10" borderId="25" xfId="3" applyNumberFormat="1" applyFont="1" applyFill="1" applyBorder="1" applyAlignment="1">
      <alignment horizontal="center" vertical="center" wrapText="1"/>
    </xf>
    <xf numFmtId="3" fontId="7" fillId="0" borderId="3" xfId="3" applyNumberFormat="1" applyFont="1" applyBorder="1" applyAlignment="1">
      <alignment horizontal="center" vertical="center" wrapText="1"/>
    </xf>
    <xf numFmtId="0" fontId="23" fillId="0" borderId="50" xfId="0" applyFont="1" applyBorder="1" applyAlignment="1">
      <alignment horizontal="center" vertical="center" wrapText="1"/>
      <extLst>
        <ext xmlns:xfpb="http://schemas.microsoft.com/office/spreadsheetml/2022/featurepropertybag" uri="{C7286773-470A-42A8-94C5-96B5CB345126}">
          <xfpb:xfComplement i="0"/>
        </ext>
      </extLst>
    </xf>
    <xf numFmtId="0" fontId="19" fillId="3" borderId="35" xfId="0" applyNumberFormat="1" applyFont="1" applyFill="1" applyBorder="1" applyAlignment="1">
      <alignment horizontal="center" vertical="center"/>
    </xf>
    <xf numFmtId="0" fontId="23" fillId="0" borderId="52"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2" borderId="2" xfId="0" applyFont="1" applyFill="1" applyBorder="1" applyAlignment="1">
      <alignment vertical="center" wrapText="1"/>
    </xf>
    <xf numFmtId="0" fontId="6" fillId="2" borderId="41" xfId="3" applyFont="1" applyFill="1" applyBorder="1" applyAlignment="1">
      <alignment vertical="center"/>
    </xf>
    <xf numFmtId="0" fontId="6" fillId="2" borderId="17" xfId="3" applyFont="1" applyFill="1" applyBorder="1" applyAlignment="1">
      <alignment vertical="center"/>
    </xf>
    <xf numFmtId="0" fontId="6" fillId="2" borderId="46" xfId="3" applyFont="1" applyFill="1" applyBorder="1" applyAlignment="1">
      <alignment vertical="center"/>
    </xf>
    <xf numFmtId="0" fontId="28" fillId="15" borderId="0" xfId="1" applyFont="1" applyFill="1" applyAlignment="1">
      <alignment horizontal="center" vertical="center" wrapText="1"/>
    </xf>
    <xf numFmtId="0" fontId="39" fillId="0" borderId="12" xfId="0" applyFont="1" applyFill="1" applyBorder="1">
      <alignment vertical="top" wrapText="1"/>
    </xf>
    <xf numFmtId="0" fontId="39" fillId="0" borderId="28" xfId="0" applyFont="1" applyBorder="1">
      <alignment vertical="top" wrapText="1"/>
    </xf>
    <xf numFmtId="0" fontId="39" fillId="0" borderId="27" xfId="0" applyFont="1" applyFill="1" applyBorder="1">
      <alignment vertical="top" wrapText="1"/>
    </xf>
    <xf numFmtId="0" fontId="6" fillId="2" borderId="28" xfId="3" applyFont="1" applyFill="1" applyBorder="1" applyAlignment="1">
      <alignment vertical="center"/>
    </xf>
    <xf numFmtId="0" fontId="6" fillId="2" borderId="27" xfId="3" applyFont="1" applyFill="1" applyBorder="1" applyAlignment="1">
      <alignment vertical="center"/>
    </xf>
    <xf numFmtId="0" fontId="14" fillId="4" borderId="0" xfId="3" applyNumberFormat="1" applyFont="1" applyFill="1" applyBorder="1" applyAlignment="1">
      <alignment vertical="center"/>
    </xf>
    <xf numFmtId="0" fontId="23" fillId="3" borderId="11" xfId="3" applyFill="1" applyBorder="1">
      <alignment vertical="top" wrapText="1"/>
    </xf>
    <xf numFmtId="1" fontId="41" fillId="2" borderId="8" xfId="0" applyNumberFormat="1" applyFont="1" applyFill="1" applyBorder="1" applyAlignment="1">
      <alignment vertical="center" wrapText="1"/>
    </xf>
    <xf numFmtId="0" fontId="2" fillId="17" borderId="0" xfId="0" applyNumberFormat="1" applyFont="1" applyFill="1" applyBorder="1" applyAlignment="1">
      <alignment vertical="center"/>
    </xf>
    <xf numFmtId="0" fontId="2" fillId="17" borderId="0" xfId="0" applyNumberFormat="1" applyFont="1" applyFill="1" applyBorder="1" applyAlignment="1">
      <alignment horizontal="center" vertical="center"/>
    </xf>
    <xf numFmtId="0" fontId="5" fillId="17" borderId="0" xfId="0" applyNumberFormat="1" applyFont="1" applyFill="1" applyBorder="1" applyAlignment="1">
      <alignment horizontal="center" vertical="center" wrapText="1"/>
    </xf>
    <xf numFmtId="0" fontId="4" fillId="0" borderId="0" xfId="0" applyNumberFormat="1" applyFont="1" applyFill="1" applyAlignment="1"/>
    <xf numFmtId="0" fontId="29" fillId="0" borderId="0" xfId="0" applyNumberFormat="1" applyFont="1" applyFill="1" applyAlignment="1"/>
    <xf numFmtId="0" fontId="2" fillId="18" borderId="0" xfId="3" applyNumberFormat="1" applyFont="1" applyFill="1" applyBorder="1" applyAlignment="1">
      <alignment horizontal="left" vertical="center"/>
    </xf>
    <xf numFmtId="0" fontId="5" fillId="18" borderId="0" xfId="3" applyNumberFormat="1" applyFont="1" applyFill="1" applyBorder="1" applyAlignment="1">
      <alignment horizontal="center" vertical="center" wrapText="1"/>
    </xf>
    <xf numFmtId="0" fontId="30" fillId="18" borderId="0" xfId="0" applyNumberFormat="1" applyFont="1" applyFill="1" applyBorder="1" applyAlignment="1">
      <alignment vertical="center"/>
    </xf>
    <xf numFmtId="0" fontId="30" fillId="18" borderId="0" xfId="3" applyNumberFormat="1" applyFont="1" applyFill="1" applyBorder="1" applyAlignment="1">
      <alignment horizontal="left" vertical="center"/>
    </xf>
    <xf numFmtId="0" fontId="31" fillId="18" borderId="0" xfId="3" applyNumberFormat="1" applyFont="1" applyFill="1" applyBorder="1" applyAlignment="1">
      <alignment horizontal="center" vertical="center" wrapText="1"/>
    </xf>
    <xf numFmtId="0" fontId="43" fillId="0" borderId="0" xfId="3" applyFont="1">
      <alignment vertical="top" wrapText="1"/>
    </xf>
    <xf numFmtId="0" fontId="30" fillId="18" borderId="0" xfId="0" applyNumberFormat="1" applyFont="1" applyFill="1" applyBorder="1" applyAlignment="1">
      <alignment horizontal="center" vertical="center"/>
    </xf>
    <xf numFmtId="0" fontId="43" fillId="0" borderId="0" xfId="0" applyFont="1">
      <alignment vertical="top" wrapText="1"/>
    </xf>
    <xf numFmtId="0" fontId="30" fillId="19" borderId="0" xfId="3" applyNumberFormat="1" applyFont="1" applyFill="1" applyBorder="1" applyAlignment="1">
      <alignment vertical="center"/>
    </xf>
    <xf numFmtId="0" fontId="5" fillId="20" borderId="18" xfId="0" applyFont="1" applyFill="1" applyBorder="1" applyAlignment="1">
      <alignment vertical="center"/>
    </xf>
    <xf numFmtId="0" fontId="5" fillId="20" borderId="19" xfId="0" applyFont="1" applyFill="1" applyBorder="1" applyAlignment="1">
      <alignment vertical="center"/>
    </xf>
    <xf numFmtId="0" fontId="5" fillId="20" borderId="20" xfId="0" applyFont="1" applyFill="1" applyBorder="1" applyAlignment="1">
      <alignment vertical="center"/>
    </xf>
    <xf numFmtId="0" fontId="23" fillId="16" borderId="3"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23" fillId="22" borderId="9" xfId="0" applyFont="1" applyFill="1" applyBorder="1" applyAlignment="1">
      <alignment vertical="center" wrapText="1"/>
    </xf>
    <xf numFmtId="0" fontId="44" fillId="21" borderId="12" xfId="0" applyFont="1" applyFill="1" applyBorder="1" applyAlignment="1">
      <alignment horizontal="center" vertical="center" wrapText="1"/>
    </xf>
    <xf numFmtId="0" fontId="46" fillId="22" borderId="12" xfId="0" applyNumberFormat="1" applyFont="1" applyFill="1" applyBorder="1" applyAlignment="1">
      <alignment horizontal="center" vertical="center" wrapText="1"/>
    </xf>
    <xf numFmtId="0" fontId="45" fillId="22" borderId="12" xfId="0" applyNumberFormat="1" applyFont="1" applyFill="1" applyBorder="1" applyAlignment="1">
      <alignment horizontal="center" vertical="center" wrapText="1"/>
    </xf>
    <xf numFmtId="0" fontId="23" fillId="22" borderId="17" xfId="0" applyFont="1" applyFill="1" applyBorder="1" applyAlignment="1">
      <alignment vertical="center" wrapText="1"/>
    </xf>
    <xf numFmtId="0" fontId="23" fillId="22" borderId="51" xfId="0" applyFont="1" applyFill="1" applyBorder="1" applyAlignment="1">
      <alignment vertical="center" wrapText="1"/>
    </xf>
    <xf numFmtId="0" fontId="23" fillId="22" borderId="26" xfId="0" applyFont="1" applyFill="1" applyBorder="1" applyAlignment="1">
      <alignment vertical="center" wrapText="1"/>
    </xf>
    <xf numFmtId="0" fontId="23" fillId="22" borderId="17" xfId="0" applyFont="1" applyFill="1" applyBorder="1">
      <alignment vertical="top" wrapText="1"/>
    </xf>
    <xf numFmtId="0" fontId="4" fillId="0" borderId="40" xfId="0" applyNumberFormat="1" applyFont="1" applyBorder="1" applyAlignment="1">
      <alignment vertical="center"/>
    </xf>
    <xf numFmtId="0" fontId="5" fillId="17" borderId="40" xfId="0" applyNumberFormat="1" applyFont="1" applyFill="1" applyBorder="1" applyAlignment="1">
      <alignment horizontal="center" vertical="center" wrapText="1"/>
    </xf>
    <xf numFmtId="0" fontId="4" fillId="0" borderId="40" xfId="0" applyNumberFormat="1" applyFont="1" applyBorder="1" applyAlignment="1"/>
    <xf numFmtId="0" fontId="4" fillId="0" borderId="0" xfId="0" applyNumberFormat="1" applyFont="1" applyBorder="1" applyAlignment="1"/>
    <xf numFmtId="0" fontId="44" fillId="21" borderId="23" xfId="0" applyFont="1" applyFill="1" applyBorder="1" applyAlignment="1">
      <alignment horizontal="center" vertical="center" wrapText="1"/>
    </xf>
    <xf numFmtId="0" fontId="23" fillId="22" borderId="9" xfId="0" applyFont="1" applyFill="1" applyBorder="1">
      <alignment vertical="top" wrapText="1"/>
    </xf>
    <xf numFmtId="0" fontId="44" fillId="21" borderId="33" xfId="0" applyFont="1" applyFill="1" applyBorder="1" applyAlignment="1">
      <alignment horizontal="center" vertical="center" wrapText="1"/>
    </xf>
    <xf numFmtId="0" fontId="44" fillId="21" borderId="53" xfId="0" applyFont="1" applyFill="1" applyBorder="1" applyAlignment="1">
      <alignment horizontal="center" vertical="center" wrapText="1"/>
    </xf>
    <xf numFmtId="0" fontId="23" fillId="22" borderId="15" xfId="0" applyFont="1" applyFill="1" applyBorder="1" applyAlignment="1">
      <alignment vertical="center" wrapText="1"/>
    </xf>
    <xf numFmtId="0" fontId="23" fillId="3" borderId="0" xfId="3" applyFill="1" applyBorder="1">
      <alignment vertical="top" wrapText="1"/>
    </xf>
    <xf numFmtId="0" fontId="17" fillId="18" borderId="0" xfId="3" applyNumberFormat="1" applyFont="1" applyFill="1" applyBorder="1" applyAlignment="1">
      <alignment horizontal="center" vertical="center" wrapText="1"/>
    </xf>
    <xf numFmtId="0" fontId="47" fillId="3" borderId="35" xfId="0" applyNumberFormat="1" applyFont="1" applyFill="1" applyBorder="1" applyAlignment="1">
      <alignment horizontal="center" vertical="center"/>
    </xf>
    <xf numFmtId="0" fontId="48" fillId="21" borderId="36" xfId="0" applyFont="1" applyFill="1" applyBorder="1" applyAlignment="1">
      <alignment horizontal="center" vertical="center" wrapText="1"/>
    </xf>
    <xf numFmtId="0" fontId="0" fillId="0" borderId="3" xfId="0" applyBorder="1" applyAlignment="1">
      <alignment vertical="center" wrapText="1"/>
    </xf>
    <xf numFmtId="0" fontId="23" fillId="3" borderId="3" xfId="3" applyFill="1" applyBorder="1" applyAlignment="1">
      <alignment vertical="center" wrapText="1"/>
    </xf>
    <xf numFmtId="0" fontId="6" fillId="0" borderId="42" xfId="3" applyFont="1" applyBorder="1" applyAlignment="1">
      <alignment vertical="center" wrapText="1"/>
    </xf>
    <xf numFmtId="0" fontId="6" fillId="0" borderId="2" xfId="3" applyFont="1" applyBorder="1" applyAlignment="1">
      <alignment vertical="center" wrapText="1"/>
    </xf>
    <xf numFmtId="0" fontId="6" fillId="0" borderId="47" xfId="3" applyFont="1" applyBorder="1" applyAlignment="1">
      <alignment vertical="center" wrapText="1"/>
    </xf>
    <xf numFmtId="0" fontId="6" fillId="0" borderId="10" xfId="3" applyFont="1" applyBorder="1" applyAlignment="1">
      <alignment vertical="center" wrapText="1"/>
    </xf>
    <xf numFmtId="0" fontId="34" fillId="0" borderId="10" xfId="3" applyFont="1" applyBorder="1" applyAlignment="1" applyProtection="1">
      <alignment vertical="center" shrinkToFit="1"/>
    </xf>
    <xf numFmtId="0" fontId="8" fillId="0" borderId="0" xfId="1" applyAlignment="1">
      <alignment horizontal="left"/>
    </xf>
    <xf numFmtId="0" fontId="10" fillId="0" borderId="0" xfId="0" applyFont="1" applyAlignment="1">
      <alignment horizontal="left" vertical="center" wrapText="1" indent="1"/>
    </xf>
    <xf numFmtId="0" fontId="19" fillId="23" borderId="3" xfId="3" applyNumberFormat="1" applyFont="1" applyFill="1" applyBorder="1" applyAlignment="1">
      <alignment vertical="center"/>
    </xf>
    <xf numFmtId="0" fontId="19" fillId="23" borderId="2" xfId="0" applyNumberFormat="1" applyFont="1" applyFill="1" applyBorder="1" applyAlignment="1">
      <alignment vertical="center"/>
    </xf>
    <xf numFmtId="0" fontId="19" fillId="23" borderId="6" xfId="0" applyNumberFormat="1" applyFont="1" applyFill="1" applyBorder="1" applyAlignment="1">
      <alignment horizontal="center" vertical="center"/>
    </xf>
    <xf numFmtId="0" fontId="38" fillId="23" borderId="6" xfId="2" applyNumberFormat="1" applyFont="1" applyFill="1" applyBorder="1" applyAlignment="1">
      <alignment horizontal="center" vertical="center"/>
    </xf>
    <xf numFmtId="165" fontId="26" fillId="0" borderId="22" xfId="2" applyNumberFormat="1" applyBorder="1" applyAlignment="1">
      <alignment horizontal="left" vertical="center"/>
    </xf>
    <xf numFmtId="165" fontId="26" fillId="0" borderId="5" xfId="2" applyNumberFormat="1" applyBorder="1" applyAlignment="1">
      <alignment horizontal="left" vertical="center"/>
    </xf>
    <xf numFmtId="165" fontId="26" fillId="0" borderId="7" xfId="2" applyNumberFormat="1" applyBorder="1" applyAlignment="1">
      <alignment horizontal="left" vertical="center"/>
    </xf>
    <xf numFmtId="0" fontId="10" fillId="0" borderId="4" xfId="1" applyFont="1" applyBorder="1" applyAlignment="1">
      <alignment vertical="top" wrapText="1"/>
    </xf>
    <xf numFmtId="0" fontId="11" fillId="0" borderId="4" xfId="1" applyFont="1" applyBorder="1" applyAlignment="1">
      <alignment vertical="top" wrapText="1"/>
    </xf>
    <xf numFmtId="0" fontId="10" fillId="0" borderId="56" xfId="1" applyFont="1" applyBorder="1" applyAlignment="1">
      <alignment vertical="top" wrapText="1"/>
    </xf>
    <xf numFmtId="0" fontId="10" fillId="0" borderId="54" xfId="1" applyFont="1" applyBorder="1" applyAlignment="1">
      <alignment vertical="top" wrapText="1"/>
    </xf>
    <xf numFmtId="0" fontId="11" fillId="0" borderId="3" xfId="1" applyFont="1" applyBorder="1" applyAlignment="1">
      <alignment vertical="top" wrapText="1"/>
    </xf>
    <xf numFmtId="0" fontId="10" fillId="0" borderId="55" xfId="1" applyFont="1" applyBorder="1" applyAlignment="1">
      <alignment vertical="top" wrapText="1"/>
    </xf>
    <xf numFmtId="0" fontId="10" fillId="0" borderId="57" xfId="1" applyFont="1" applyBorder="1" applyAlignment="1">
      <alignment vertical="top" wrapText="1"/>
    </xf>
    <xf numFmtId="0" fontId="11" fillId="0" borderId="56" xfId="1" applyFont="1" applyBorder="1" applyAlignment="1">
      <alignment vertical="top" wrapText="1"/>
    </xf>
    <xf numFmtId="0" fontId="37" fillId="0" borderId="3" xfId="0" applyFont="1" applyFill="1" applyBorder="1">
      <alignment vertical="top" wrapText="1"/>
    </xf>
    <xf numFmtId="0" fontId="37" fillId="0" borderId="25" xfId="0" applyFont="1" applyFill="1" applyBorder="1">
      <alignment vertical="top" wrapText="1"/>
    </xf>
    <xf numFmtId="0" fontId="11" fillId="0" borderId="57" xfId="1" applyFont="1" applyBorder="1" applyAlignment="1">
      <alignment vertical="top" wrapText="1"/>
    </xf>
    <xf numFmtId="0" fontId="13" fillId="4" borderId="0" xfId="1" applyFont="1" applyFill="1" applyAlignment="1">
      <alignment horizontal="center"/>
    </xf>
    <xf numFmtId="0" fontId="8" fillId="4" borderId="0" xfId="1" applyFill="1" applyAlignment="1">
      <alignment horizontal="center"/>
    </xf>
    <xf numFmtId="0" fontId="13" fillId="4" borderId="0" xfId="1" applyFont="1" applyFill="1"/>
    <xf numFmtId="0" fontId="8" fillId="4" borderId="0" xfId="1" applyFill="1"/>
    <xf numFmtId="0" fontId="8" fillId="4" borderId="0" xfId="1" applyFill="1" applyAlignment="1">
      <alignment horizontal="left"/>
    </xf>
    <xf numFmtId="0" fontId="12" fillId="4" borderId="0" xfId="1" applyFont="1" applyFill="1"/>
    <xf numFmtId="0" fontId="35" fillId="4" borderId="0" xfId="1" applyFont="1" applyFill="1"/>
    <xf numFmtId="0" fontId="26" fillId="2" borderId="10" xfId="2" applyNumberFormat="1" applyFill="1" applyBorder="1" applyAlignment="1">
      <alignment vertical="center"/>
    </xf>
    <xf numFmtId="0" fontId="19" fillId="3" borderId="6" xfId="3" applyNumberFormat="1" applyFont="1" applyFill="1" applyBorder="1" applyAlignment="1">
      <alignment vertical="center"/>
    </xf>
    <xf numFmtId="0" fontId="26" fillId="2" borderId="0" xfId="2" applyNumberFormat="1" applyFill="1" applyBorder="1" applyAlignment="1">
      <alignment vertical="center"/>
    </xf>
    <xf numFmtId="0" fontId="31" fillId="2" borderId="0" xfId="2" applyNumberFormat="1" applyFont="1" applyFill="1" applyBorder="1" applyAlignment="1">
      <alignment vertical="center"/>
    </xf>
    <xf numFmtId="0" fontId="25" fillId="0" borderId="0" xfId="3" applyFont="1">
      <alignment vertical="top" wrapText="1"/>
    </xf>
    <xf numFmtId="0" fontId="34" fillId="0" borderId="0" xfId="0" applyNumberFormat="1" applyFont="1" applyAlignment="1">
      <alignment shrinkToFit="1"/>
    </xf>
    <xf numFmtId="0" fontId="1" fillId="0" borderId="0" xfId="0" applyFont="1" applyAlignment="1">
      <alignment vertical="top" shrinkToFit="1"/>
    </xf>
    <xf numFmtId="0" fontId="23" fillId="0" borderId="0" xfId="3" applyAlignment="1">
      <alignment vertical="top" shrinkToFit="1"/>
    </xf>
    <xf numFmtId="0" fontId="34" fillId="0" borderId="0" xfId="0" applyFont="1" applyAlignment="1">
      <alignment shrinkToFit="1"/>
    </xf>
    <xf numFmtId="0" fontId="1" fillId="0" borderId="0" xfId="0" applyFont="1" applyBorder="1" applyAlignment="1">
      <alignment vertical="top" shrinkToFit="1"/>
    </xf>
    <xf numFmtId="0" fontId="51" fillId="10" borderId="0" xfId="1" applyFont="1" applyFill="1" applyAlignment="1">
      <alignment vertical="top" shrinkToFit="1"/>
    </xf>
    <xf numFmtId="0" fontId="51" fillId="0" borderId="0" xfId="1" applyFont="1" applyAlignment="1">
      <alignment shrinkToFit="1"/>
    </xf>
    <xf numFmtId="0" fontId="51" fillId="0" borderId="0" xfId="1" applyFont="1" applyAlignment="1">
      <alignment vertical="top" shrinkToFit="1"/>
    </xf>
    <xf numFmtId="0" fontId="52" fillId="0" borderId="0" xfId="0" applyFont="1" applyAlignment="1">
      <alignment vertical="center"/>
    </xf>
    <xf numFmtId="0" fontId="26" fillId="4" borderId="0" xfId="2" applyNumberFormat="1" applyFill="1" applyBorder="1" applyAlignment="1">
      <alignment vertical="center"/>
    </xf>
    <xf numFmtId="0" fontId="18" fillId="4" borderId="0" xfId="0" applyNumberFormat="1" applyFont="1" applyFill="1" applyBorder="1" applyAlignment="1">
      <alignment vertical="center"/>
    </xf>
    <xf numFmtId="0" fontId="18" fillId="4" borderId="0" xfId="0" applyNumberFormat="1" applyFont="1" applyFill="1" applyBorder="1" applyAlignment="1">
      <alignment horizontal="center" vertical="center"/>
    </xf>
    <xf numFmtId="0" fontId="53" fillId="0" borderId="0" xfId="0" applyNumberFormat="1" applyFont="1" applyAlignment="1"/>
    <xf numFmtId="0" fontId="54" fillId="0" borderId="0" xfId="0" applyNumberFormat="1" applyFont="1" applyAlignment="1"/>
    <xf numFmtId="0" fontId="14" fillId="4" borderId="0" xfId="3" applyNumberFormat="1" applyFont="1" applyFill="1" applyBorder="1" applyAlignment="1">
      <alignment horizontal="left" vertical="center"/>
    </xf>
    <xf numFmtId="0" fontId="26" fillId="4" borderId="0" xfId="2" applyNumberFormat="1" applyFill="1" applyBorder="1" applyAlignment="1">
      <alignment horizontal="left" vertical="center"/>
    </xf>
    <xf numFmtId="0" fontId="16"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center" vertical="center" wrapText="1"/>
    </xf>
    <xf numFmtId="0" fontId="29" fillId="0" borderId="0" xfId="0" applyFont="1" applyFill="1" applyBorder="1" applyAlignment="1">
      <alignment vertical="center" wrapText="1"/>
    </xf>
    <xf numFmtId="1" fontId="41" fillId="0" borderId="0" xfId="0" applyNumberFormat="1" applyFont="1" applyFill="1" applyBorder="1" applyAlignment="1">
      <alignment vertical="center" wrapText="1"/>
    </xf>
    <xf numFmtId="0" fontId="23" fillId="0" borderId="0" xfId="0" applyFont="1" applyFill="1" applyBorder="1">
      <alignment vertical="top" wrapText="1"/>
    </xf>
    <xf numFmtId="0" fontId="34" fillId="0" borderId="0" xfId="0" applyNumberFormat="1" applyFont="1" applyFill="1" applyAlignment="1">
      <alignment shrinkToFit="1"/>
    </xf>
    <xf numFmtId="0" fontId="4" fillId="0" borderId="19" xfId="3" applyFont="1" applyBorder="1" applyAlignment="1">
      <alignment horizontal="left" vertical="center" wrapText="1"/>
    </xf>
    <xf numFmtId="0" fontId="23" fillId="0" borderId="19" xfId="3" applyBorder="1">
      <alignment vertical="top" wrapText="1"/>
    </xf>
    <xf numFmtId="0" fontId="14" fillId="4" borderId="59" xfId="0" applyNumberFormat="1" applyFont="1" applyFill="1" applyBorder="1" applyAlignment="1">
      <alignment vertical="center"/>
    </xf>
    <xf numFmtId="0" fontId="14" fillId="4" borderId="40" xfId="0" applyNumberFormat="1" applyFont="1" applyFill="1" applyBorder="1" applyAlignment="1">
      <alignment vertical="center"/>
    </xf>
    <xf numFmtId="0" fontId="14" fillId="4" borderId="24" xfId="0" applyNumberFormat="1" applyFont="1" applyFill="1" applyBorder="1" applyAlignment="1">
      <alignment vertical="center"/>
    </xf>
    <xf numFmtId="0" fontId="18" fillId="4" borderId="24" xfId="0" applyNumberFormat="1" applyFont="1" applyFill="1" applyBorder="1" applyAlignment="1">
      <alignment vertical="center"/>
    </xf>
    <xf numFmtId="0" fontId="23" fillId="0" borderId="60" xfId="3" applyBorder="1" applyAlignment="1">
      <alignment vertical="center" wrapText="1"/>
    </xf>
    <xf numFmtId="0" fontId="4" fillId="0" borderId="0" xfId="0" applyFont="1" applyAlignment="1">
      <alignment vertical="top"/>
    </xf>
    <xf numFmtId="0" fontId="4" fillId="0" borderId="0" xfId="0" applyFont="1" applyAlignment="1">
      <alignment vertical="center"/>
    </xf>
    <xf numFmtId="0" fontId="4" fillId="19" borderId="0" xfId="0" applyFont="1" applyFill="1" applyAlignment="1">
      <alignment horizontal="right" vertical="center"/>
    </xf>
    <xf numFmtId="0" fontId="3" fillId="2" borderId="40" xfId="3" applyNumberFormat="1" applyFont="1" applyFill="1" applyBorder="1" applyAlignment="1">
      <alignment vertical="center"/>
    </xf>
    <xf numFmtId="0" fontId="3" fillId="2" borderId="24" xfId="3" applyNumberFormat="1" applyFont="1" applyFill="1" applyBorder="1" applyAlignment="1">
      <alignment vertical="center"/>
    </xf>
    <xf numFmtId="0" fontId="23" fillId="0" borderId="0" xfId="3" applyAlignment="1">
      <alignment vertical="top"/>
    </xf>
    <xf numFmtId="0" fontId="1" fillId="0" borderId="0" xfId="3" applyFont="1">
      <alignment vertical="top" wrapText="1"/>
    </xf>
    <xf numFmtId="0" fontId="2" fillId="17" borderId="0" xfId="0" applyNumberFormat="1" applyFont="1" applyFill="1" applyBorder="1" applyAlignment="1" applyProtection="1">
      <alignment vertical="center"/>
    </xf>
    <xf numFmtId="0" fontId="2" fillId="17" borderId="0" xfId="0" applyNumberFormat="1" applyFont="1" applyFill="1" applyBorder="1" applyAlignment="1" applyProtection="1">
      <alignment horizontal="center" vertical="center"/>
    </xf>
    <xf numFmtId="0" fontId="5" fillId="17" borderId="0"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vertical="center"/>
    </xf>
    <xf numFmtId="0" fontId="17" fillId="2" borderId="2" xfId="0" applyNumberFormat="1" applyFont="1" applyFill="1" applyBorder="1" applyAlignment="1" applyProtection="1">
      <alignment vertical="center"/>
    </xf>
    <xf numFmtId="164" fontId="18" fillId="10" borderId="1" xfId="0" applyNumberFormat="1" applyFont="1" applyFill="1" applyBorder="1" applyAlignment="1" applyProtection="1">
      <alignment horizontal="center" vertical="center"/>
    </xf>
    <xf numFmtId="164" fontId="18" fillId="10" borderId="5" xfId="0" applyNumberFormat="1" applyFont="1" applyFill="1" applyBorder="1" applyAlignment="1" applyProtection="1">
      <alignment horizontal="left" vertical="center"/>
    </xf>
    <xf numFmtId="0" fontId="4" fillId="0" borderId="2" xfId="0" applyNumberFormat="1" applyFont="1" applyBorder="1" applyAlignment="1" applyProtection="1"/>
    <xf numFmtId="0" fontId="19" fillId="3" borderId="6" xfId="0" applyNumberFormat="1" applyFont="1" applyFill="1" applyBorder="1" applyAlignment="1" applyProtection="1">
      <alignment vertical="center"/>
    </xf>
    <xf numFmtId="0" fontId="19" fillId="3" borderId="3" xfId="0" applyNumberFormat="1" applyFont="1" applyFill="1" applyBorder="1" applyAlignment="1" applyProtection="1">
      <alignment vertical="center"/>
    </xf>
    <xf numFmtId="0" fontId="19" fillId="3" borderId="6" xfId="0" applyNumberFormat="1" applyFont="1" applyFill="1" applyBorder="1" applyAlignment="1" applyProtection="1">
      <alignment horizontal="center" vertical="center" wrapText="1"/>
    </xf>
    <xf numFmtId="1" fontId="19" fillId="3" borderId="6" xfId="0" applyNumberFormat="1" applyFont="1" applyFill="1" applyBorder="1" applyAlignment="1" applyProtection="1">
      <alignment horizontal="left" vertical="center" wrapText="1"/>
    </xf>
    <xf numFmtId="1" fontId="20" fillId="3" borderId="6" xfId="0" applyNumberFormat="1" applyFont="1" applyFill="1" applyBorder="1" applyAlignment="1" applyProtection="1">
      <alignment horizontal="left" vertical="center" wrapText="1"/>
    </xf>
    <xf numFmtId="0" fontId="17"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horizontal="center" vertical="center"/>
    </xf>
    <xf numFmtId="0" fontId="14" fillId="4" borderId="59" xfId="0" applyNumberFormat="1" applyFont="1" applyFill="1" applyBorder="1" applyAlignment="1" applyProtection="1">
      <alignment vertical="center"/>
    </xf>
    <xf numFmtId="0" fontId="14" fillId="4" borderId="40" xfId="0" applyNumberFormat="1" applyFont="1" applyFill="1" applyBorder="1" applyAlignment="1" applyProtection="1">
      <alignment vertical="center"/>
    </xf>
    <xf numFmtId="0" fontId="18" fillId="4" borderId="0" xfId="0" applyNumberFormat="1" applyFont="1" applyFill="1" applyBorder="1" applyAlignment="1" applyProtection="1">
      <alignment vertical="center"/>
    </xf>
    <xf numFmtId="0" fontId="26" fillId="4" borderId="0" xfId="2" applyNumberFormat="1" applyFill="1" applyBorder="1" applyAlignment="1" applyProtection="1">
      <alignment vertical="center"/>
    </xf>
    <xf numFmtId="0" fontId="14" fillId="4" borderId="24" xfId="0" applyNumberFormat="1" applyFont="1" applyFill="1" applyBorder="1" applyAlignment="1" applyProtection="1">
      <alignment vertical="center"/>
    </xf>
    <xf numFmtId="0" fontId="19" fillId="3" borderId="3" xfId="3" applyNumberFormat="1" applyFont="1" applyFill="1" applyBorder="1" applyAlignment="1" applyProtection="1">
      <alignment vertical="center"/>
    </xf>
    <xf numFmtId="0" fontId="19" fillId="3" borderId="3" xfId="0" applyNumberFormat="1" applyFont="1" applyFill="1" applyBorder="1" applyAlignment="1" applyProtection="1">
      <alignment horizontal="center" vertical="center"/>
    </xf>
    <xf numFmtId="1" fontId="20" fillId="3" borderId="3" xfId="0" applyNumberFormat="1" applyFont="1" applyFill="1" applyBorder="1" applyAlignment="1" applyProtection="1">
      <alignment horizontal="left" vertical="center" wrapText="1"/>
    </xf>
    <xf numFmtId="0" fontId="17" fillId="4" borderId="0" xfId="3" applyNumberFormat="1" applyFont="1" applyFill="1" applyBorder="1" applyAlignment="1">
      <alignment vertical="center"/>
    </xf>
    <xf numFmtId="0" fontId="17" fillId="4" borderId="0" xfId="3" applyNumberFormat="1" applyFont="1" applyFill="1" applyBorder="1" applyAlignment="1">
      <alignment horizontal="left" vertical="center" wrapText="1"/>
    </xf>
    <xf numFmtId="0" fontId="55" fillId="2" borderId="12" xfId="3" applyFont="1" applyFill="1" applyBorder="1" applyAlignment="1">
      <alignment vertical="center"/>
    </xf>
    <xf numFmtId="0" fontId="19" fillId="24" borderId="3" xfId="3" applyNumberFormat="1" applyFont="1" applyFill="1" applyBorder="1" applyAlignment="1">
      <alignment vertical="center"/>
    </xf>
    <xf numFmtId="0" fontId="19" fillId="24" borderId="3" xfId="3" applyNumberFormat="1" applyFont="1" applyFill="1" applyBorder="1" applyAlignment="1">
      <alignment horizontal="center" vertical="center" wrapText="1"/>
    </xf>
    <xf numFmtId="0" fontId="23" fillId="24" borderId="0" xfId="3" applyFill="1">
      <alignment vertical="top" wrapText="1"/>
    </xf>
    <xf numFmtId="0" fontId="56" fillId="4" borderId="3" xfId="3" applyNumberFormat="1" applyFont="1" applyFill="1" applyBorder="1" applyAlignment="1">
      <alignment vertical="center"/>
    </xf>
    <xf numFmtId="0" fontId="23" fillId="0" borderId="1" xfId="0" applyFont="1" applyBorder="1" applyAlignment="1">
      <alignment horizontal="left" vertical="center"/>
    </xf>
    <xf numFmtId="0" fontId="23" fillId="0" borderId="38" xfId="0" applyFont="1" applyBorder="1" applyAlignment="1">
      <alignment vertical="center" wrapText="1"/>
    </xf>
    <xf numFmtId="0" fontId="23" fillId="0" borderId="1" xfId="0" applyFont="1" applyBorder="1" applyAlignment="1">
      <alignment horizontal="center" vertical="center" wrapText="1"/>
    </xf>
    <xf numFmtId="0" fontId="23" fillId="0" borderId="2" xfId="0" applyFont="1" applyBorder="1" applyAlignment="1">
      <alignment vertical="center" wrapText="1"/>
    </xf>
    <xf numFmtId="0" fontId="37" fillId="0" borderId="0" xfId="0" applyFont="1">
      <alignment vertical="top" wrapText="1"/>
    </xf>
    <xf numFmtId="0" fontId="24" fillId="0" borderId="28" xfId="0" applyFont="1" applyBorder="1" applyAlignment="1">
      <alignment horizontal="center" vertical="center" wrapText="1"/>
    </xf>
    <xf numFmtId="0" fontId="2" fillId="17" borderId="0" xfId="0" applyNumberFormat="1" applyFont="1" applyFill="1" applyBorder="1" applyAlignment="1">
      <alignment vertical="center" wrapText="1"/>
    </xf>
    <xf numFmtId="164" fontId="18" fillId="10" borderId="5" xfId="0" applyNumberFormat="1" applyFont="1" applyFill="1" applyBorder="1" applyAlignment="1">
      <alignment horizontal="left" vertical="center" wrapText="1"/>
    </xf>
    <xf numFmtId="0" fontId="14" fillId="4" borderId="0" xfId="0" applyNumberFormat="1" applyFont="1" applyFill="1" applyBorder="1" applyAlignment="1">
      <alignment vertical="center" wrapText="1"/>
    </xf>
    <xf numFmtId="0" fontId="19" fillId="3" borderId="3" xfId="0" applyNumberFormat="1" applyFont="1" applyFill="1" applyBorder="1" applyAlignment="1">
      <alignment horizontal="center" vertical="center" wrapText="1"/>
    </xf>
    <xf numFmtId="0" fontId="29" fillId="0" borderId="1" xfId="0" applyNumberFormat="1" applyFont="1" applyFill="1" applyBorder="1" applyAlignment="1">
      <alignment vertical="center" wrapText="1"/>
    </xf>
    <xf numFmtId="0" fontId="29" fillId="0" borderId="2" xfId="0" applyNumberFormat="1" applyFont="1" applyFill="1" applyBorder="1" applyAlignment="1">
      <alignment vertical="center" wrapText="1"/>
    </xf>
    <xf numFmtId="0" fontId="29" fillId="0" borderId="0" xfId="0" applyNumberFormat="1" applyFont="1" applyFill="1" applyBorder="1" applyAlignment="1">
      <alignment vertical="center" wrapText="1"/>
    </xf>
    <xf numFmtId="0" fontId="16" fillId="0" borderId="1" xfId="0" applyNumberFormat="1" applyFont="1" applyFill="1" applyBorder="1" applyAlignment="1">
      <alignment vertical="center" wrapText="1"/>
    </xf>
    <xf numFmtId="0" fontId="16" fillId="0" borderId="3" xfId="0" applyNumberFormat="1" applyFont="1" applyFill="1" applyBorder="1" applyAlignment="1">
      <alignment vertical="center" wrapText="1"/>
    </xf>
    <xf numFmtId="0" fontId="16" fillId="0" borderId="2" xfId="0" applyNumberFormat="1" applyFont="1" applyFill="1" applyBorder="1" applyAlignment="1">
      <alignment vertical="center" wrapText="1"/>
    </xf>
    <xf numFmtId="0" fontId="16" fillId="0" borderId="0" xfId="0" applyNumberFormat="1" applyFont="1" applyFill="1" applyBorder="1" applyAlignment="1">
      <alignment vertical="center" wrapText="1"/>
    </xf>
    <xf numFmtId="0" fontId="18" fillId="4" borderId="0" xfId="0" applyNumberFormat="1" applyFont="1" applyFill="1" applyBorder="1" applyAlignment="1">
      <alignment vertical="center" wrapText="1"/>
    </xf>
    <xf numFmtId="0" fontId="21" fillId="0" borderId="2" xfId="0" applyNumberFormat="1" applyFont="1" applyFill="1" applyBorder="1" applyAlignment="1">
      <alignment vertical="center" wrapText="1"/>
    </xf>
    <xf numFmtId="0" fontId="21" fillId="0" borderId="0" xfId="0" applyNumberFormat="1" applyFont="1" applyFill="1" applyBorder="1" applyAlignment="1">
      <alignment vertical="center" wrapText="1"/>
    </xf>
    <xf numFmtId="0" fontId="2" fillId="17" borderId="0" xfId="0" applyNumberFormat="1" applyFont="1" applyFill="1" applyBorder="1" applyAlignment="1" applyProtection="1">
      <alignment vertical="center" wrapText="1"/>
    </xf>
    <xf numFmtId="164" fontId="18" fillId="10" borderId="5" xfId="0" applyNumberFormat="1" applyFont="1" applyFill="1" applyBorder="1" applyAlignment="1" applyProtection="1">
      <alignment horizontal="left" vertical="center" wrapText="1"/>
    </xf>
    <xf numFmtId="0" fontId="14" fillId="4" borderId="0" xfId="0" applyNumberFormat="1" applyFont="1" applyFill="1" applyBorder="1" applyAlignment="1" applyProtection="1">
      <alignment vertical="center" wrapText="1"/>
    </xf>
    <xf numFmtId="0" fontId="19" fillId="3" borderId="3" xfId="0" applyNumberFormat="1" applyFont="1" applyFill="1" applyBorder="1" applyAlignment="1" applyProtection="1">
      <alignment horizontal="center" vertical="center" wrapText="1"/>
    </xf>
    <xf numFmtId="0" fontId="21" fillId="0" borderId="3" xfId="0" applyNumberFormat="1" applyFont="1" applyFill="1" applyBorder="1" applyAlignment="1">
      <alignment vertical="center" wrapText="1"/>
    </xf>
    <xf numFmtId="0" fontId="19" fillId="3" borderId="25" xfId="0" applyNumberFormat="1" applyFont="1" applyFill="1" applyBorder="1" applyAlignment="1">
      <alignment horizontal="center" vertical="center" wrapText="1"/>
    </xf>
    <xf numFmtId="0" fontId="21" fillId="0" borderId="6" xfId="0" applyNumberFormat="1" applyFont="1" applyFill="1" applyBorder="1" applyAlignment="1">
      <alignment vertical="center" wrapText="1"/>
    </xf>
    <xf numFmtId="0" fontId="33" fillId="0" borderId="5" xfId="0" applyFont="1" applyBorder="1" applyAlignment="1">
      <alignment horizontal="left" vertical="center"/>
    </xf>
    <xf numFmtId="0" fontId="20" fillId="3" borderId="6" xfId="0" applyNumberFormat="1" applyFont="1" applyFill="1" applyBorder="1" applyAlignment="1">
      <alignment horizontal="left" vertical="center"/>
    </xf>
    <xf numFmtId="0" fontId="57" fillId="0" borderId="3" xfId="0" applyFont="1" applyBorder="1" applyAlignment="1">
      <alignment horizontal="left" vertical="center" wrapText="1"/>
    </xf>
    <xf numFmtId="0" fontId="58" fillId="3" borderId="6" xfId="0" applyNumberFormat="1" applyFont="1" applyFill="1" applyBorder="1" applyAlignment="1">
      <alignment horizontal="left" vertical="center"/>
    </xf>
    <xf numFmtId="0" fontId="57" fillId="0" borderId="2" xfId="0" applyFont="1" applyBorder="1" applyAlignment="1">
      <alignment horizontal="left" vertical="center" wrapText="1"/>
    </xf>
    <xf numFmtId="0" fontId="57" fillId="0" borderId="1" xfId="0" applyFont="1" applyBorder="1" applyAlignment="1">
      <alignment horizontal="left" vertical="center" wrapText="1"/>
    </xf>
    <xf numFmtId="0" fontId="59" fillId="3" borderId="6" xfId="2" applyNumberFormat="1" applyFont="1" applyFill="1" applyBorder="1" applyAlignment="1">
      <alignment horizontal="left" vertical="center"/>
    </xf>
    <xf numFmtId="0" fontId="11" fillId="0" borderId="54" xfId="1" applyFont="1" applyBorder="1" applyAlignment="1">
      <alignment vertical="top" wrapText="1"/>
    </xf>
    <xf numFmtId="0" fontId="11" fillId="0" borderId="55" xfId="1" applyFont="1" applyBorder="1" applyAlignment="1">
      <alignment vertical="top" wrapText="1"/>
    </xf>
    <xf numFmtId="0" fontId="60" fillId="0" borderId="3" xfId="0" applyFont="1" applyBorder="1">
      <alignment vertical="top" wrapText="1"/>
    </xf>
    <xf numFmtId="0" fontId="47" fillId="3" borderId="6" xfId="0" applyNumberFormat="1" applyFont="1" applyFill="1" applyBorder="1" applyAlignment="1">
      <alignment horizontal="center" vertical="center"/>
    </xf>
    <xf numFmtId="0" fontId="21"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164" fontId="18" fillId="10" borderId="58" xfId="0" applyNumberFormat="1" applyFont="1" applyFill="1" applyBorder="1" applyAlignment="1">
      <alignment horizontal="left" vertical="center"/>
    </xf>
    <xf numFmtId="0" fontId="33" fillId="0" borderId="0" xfId="3" applyFont="1" applyAlignment="1">
      <alignment horizontal="center" vertical="center" wrapText="1"/>
    </xf>
  </cellXfs>
  <cellStyles count="4">
    <cellStyle name="Hyperlink" xfId="2" builtinId="8"/>
    <cellStyle name="Normal" xfId="0" builtinId="0"/>
    <cellStyle name="Normal 2" xfId="1" xr:uid="{0977C3B5-2E08-4294-B0E1-AB58BF027327}"/>
    <cellStyle name="Normal 3" xfId="3" xr:uid="{EAF195EE-AFF6-40D1-AAFA-97A5153DA503}"/>
  </cellStyles>
  <dxfs count="1">
    <dxf>
      <font>
        <color rgb="FFFF0000"/>
      </font>
    </dxf>
  </dxfs>
  <tableStyles count="0" defaultTableStyle="TableStyleMedium2" defaultPivotStyle="PivotStyleLight16"/>
  <colors>
    <mruColors>
      <color rgb="FF7ECCA0"/>
      <color rgb="FFBF0000"/>
      <color rgb="FFD0DAF0"/>
      <color rgb="FF00636C"/>
      <color rgb="FFFDEEC5"/>
      <color rgb="FFE0B233"/>
      <color rgb="FF4C6BB3"/>
      <color rgb="FFB6F1D0"/>
      <color rgb="FFB651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Nichole Arbino (she/her)" id="{5608B8F2-66AD-4513-93ED-510AE4C6D38F}" userId="S::narbino@educause.edu::97e22f53-5f65-4918-80b8-6daabf17ba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49" dT="2024-11-09T02:35:39.26" personId="{5608B8F2-66AD-4513-93ED-510AE4C6D38F}" id="{4A0CC0DA-6623-4115-B60A-38E5EC6CE394}">
    <text>This question will be reworded with a preferred answer of no. That is reflected in column T, but the new verbiage should come Monday.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use.edu/HECVA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ducause.edu/HECVA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ducause.edu/HECVA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ducause.edu/HECVA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ducause.edu/HECVA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ducause.edu/HECVA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ducause.edu/HECVA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ducause.edu/HECVA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educause.edu/HECVAT" TargetMode="External"/><Relationship Id="rId1" Type="http://schemas.openxmlformats.org/officeDocument/2006/relationships/hyperlink" Target="http://www.educause.edu/HECVA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ducause.edu/higher-education-community-vendor-assessment-toolkit/how-to-use-the-higher-education-community-vendor-assessment-toolki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educause.edu/HECVAT"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educause.edu/HECVAT" TargetMode="External"/><Relationship Id="rId1" Type="http://schemas.openxmlformats.org/officeDocument/2006/relationships/hyperlink" Target="https://connect.educause.edu/community-home?CommunityKey=dd48df3c-8db8-4551-a9e5-a393b7a15e4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51EAF-9FC8-4708-9241-728E3131A911}">
  <sheetPr>
    <tabColor rgb="FF00636C"/>
  </sheetPr>
  <dimension ref="A1:L75"/>
  <sheetViews>
    <sheetView showGridLines="0" showZeros="0" topLeftCell="A25" zoomScale="80" zoomScaleNormal="80" workbookViewId="0">
      <selection activeCell="D25" sqref="D25"/>
    </sheetView>
  </sheetViews>
  <sheetFormatPr defaultColWidth="0" defaultRowHeight="0" customHeight="1" zeroHeight="1" x14ac:dyDescent="0.25"/>
  <cols>
    <col min="1" max="1" width="8.265625" customWidth="1"/>
    <col min="2" max="2" width="55.06640625" style="1" customWidth="1"/>
    <col min="3" max="3" width="18.86328125" style="14" bestFit="1" customWidth="1"/>
    <col min="4" max="4" width="55.6640625" style="15" customWidth="1"/>
    <col min="5" max="5" width="32" style="16" customWidth="1"/>
    <col min="6" max="6" width="30.6640625" style="1" customWidth="1"/>
    <col min="7" max="7" width="18.06640625" style="1" customWidth="1"/>
    <col min="8" max="8" width="16.59765625" style="1" hidden="1" customWidth="1"/>
    <col min="9" max="9" width="18.06640625" style="42" hidden="1" customWidth="1"/>
    <col min="10" max="10" width="18.06640625" style="1" hidden="1" customWidth="1"/>
    <col min="11" max="11" width="4.46484375" style="1" hidden="1" customWidth="1"/>
    <col min="12" max="12" width="6.59765625" style="1" hidden="1" customWidth="1"/>
    <col min="13" max="16384" width="6.59765625" hidden="1"/>
  </cols>
  <sheetData>
    <row r="1" spans="1:9" ht="0" hidden="1" customHeight="1" x14ac:dyDescent="0.25">
      <c r="A1" t="s">
        <v>1530</v>
      </c>
    </row>
    <row r="2" spans="1:9" ht="36" customHeight="1" x14ac:dyDescent="0.25">
      <c r="A2" s="291" t="s">
        <v>1602</v>
      </c>
      <c r="B2" s="291"/>
      <c r="C2" s="292"/>
      <c r="D2" s="342"/>
      <c r="E2" s="293"/>
      <c r="F2" s="293" t="str">
        <f>'Auto Responses'!$A$36</f>
        <v>Version 4.1.0</v>
      </c>
    </row>
    <row r="3" spans="1:9" s="1" customFormat="1" ht="29.15" customHeight="1" x14ac:dyDescent="0.25">
      <c r="A3" s="294" t="s">
        <v>996</v>
      </c>
      <c r="B3" s="295"/>
      <c r="C3" s="296">
        <v>45894</v>
      </c>
      <c r="D3" s="343"/>
      <c r="E3" s="297"/>
      <c r="F3" s="298"/>
      <c r="I3" s="42"/>
    </row>
    <row r="4" spans="1:9" s="1" customFormat="1" ht="36" customHeight="1" x14ac:dyDescent="0.25">
      <c r="A4" s="299" t="s">
        <v>921</v>
      </c>
      <c r="B4" s="300"/>
      <c r="C4" s="301"/>
      <c r="D4" s="302"/>
      <c r="E4" s="303"/>
      <c r="F4" s="303"/>
      <c r="I4" s="42"/>
    </row>
    <row r="5" spans="1:9" s="1" customFormat="1" ht="19.5" customHeight="1" x14ac:dyDescent="0.25">
      <c r="A5" s="304" t="str">
        <f>HLOOKUP($A$4,'Auto Responses'!$D$2:$D$8,2,0)&amp;""</f>
        <v>1. Complete the "Start Here" tab and review the "Required Questions" guidance to find the other sections are required for your product or service.</v>
      </c>
      <c r="B5" s="305"/>
      <c r="C5" s="306"/>
      <c r="D5" s="344"/>
      <c r="E5" s="305"/>
      <c r="F5" s="307"/>
      <c r="I5" s="42"/>
    </row>
    <row r="6" spans="1:9" s="1" customFormat="1" ht="19.5" customHeight="1" x14ac:dyDescent="0.25">
      <c r="A6" s="304" t="str">
        <f>HLOOKUP($A$4,'Auto Responses'!$D$2:$D$8,3,0)&amp;""</f>
        <v>2. Complete the "Organization" tab and the applicable questions in each of the next 5 tabs (Product through Privacy) that apply, based on your answers to the "Required Questions."</v>
      </c>
      <c r="B6" s="305"/>
      <c r="C6" s="306"/>
      <c r="D6" s="344"/>
      <c r="E6" s="305"/>
      <c r="F6" s="308"/>
      <c r="I6" s="42"/>
    </row>
    <row r="7" spans="1:9" s="1" customFormat="1" ht="19.5" customHeight="1" x14ac:dyDescent="0.25">
      <c r="A7" s="304" t="str">
        <f>HLOOKUP($A$4,'Auto Responses'!$D$2:$D$8,4,0)&amp;""</f>
        <v xml:space="preserve">3. Guidance in column E may change based on your answers to prompt details in "Additional Information." If leaving an answer blank, you must also state why in "Additional Information". </v>
      </c>
      <c r="B7" s="305"/>
      <c r="C7" s="306"/>
      <c r="D7" s="344"/>
      <c r="E7" s="305"/>
      <c r="F7" s="308"/>
      <c r="I7" s="42"/>
    </row>
    <row r="8" spans="1:9" s="1" customFormat="1" ht="19.5" customHeight="1" x14ac:dyDescent="0.25">
      <c r="A8" s="304" t="str">
        <f>HLOOKUP($A$4,'Auto Responses'!$D$2:$D$8,5,0)&amp;""</f>
        <v>4. DO NOT complete any fields in the "Evaluation" sheets or the "Analyst Notes" column.</v>
      </c>
      <c r="B8" s="305"/>
      <c r="C8" s="306"/>
      <c r="D8" s="344"/>
      <c r="E8" s="305"/>
      <c r="F8" s="308"/>
      <c r="I8" s="42"/>
    </row>
    <row r="9" spans="1:9" s="1" customFormat="1" ht="19.5" customHeight="1" x14ac:dyDescent="0.25">
      <c r="A9" s="304" t="str">
        <f>HLOOKUP($A$4,'Auto Responses'!$D$2:$D$8,6,0)&amp;""</f>
        <v>5. Return the completed file to institutions.</v>
      </c>
      <c r="B9" s="305"/>
      <c r="C9" s="306"/>
      <c r="D9" s="344"/>
      <c r="E9" s="305"/>
      <c r="F9" s="308"/>
      <c r="I9" s="42"/>
    </row>
    <row r="10" spans="1:9" s="1" customFormat="1" ht="19.5" customHeight="1" x14ac:dyDescent="0.25">
      <c r="A10" s="309" t="str">
        <f>HLOOKUP($A$4,'Auto Responses'!$D$2:$D$8,7,0)&amp;""</f>
        <v>* Denotes critical questions. Critical questions are those deemed most important to institutions by higher education volunteers.</v>
      </c>
      <c r="B10" s="305"/>
      <c r="C10" s="306"/>
      <c r="D10" s="344"/>
      <c r="E10" s="305"/>
      <c r="F10" s="308"/>
      <c r="I10" s="42"/>
    </row>
    <row r="11" spans="1:9" s="1" customFormat="1" ht="19.5" customHeight="1" x14ac:dyDescent="0.25">
      <c r="A11" s="310" t="str">
        <f>HLOOKUP($A$4,'Auto Responses'!$D$2:$D$9,8,0)&amp;""</f>
        <v>For full instructions, please visit educause.edu/HECVAT</v>
      </c>
      <c r="B11" s="305"/>
      <c r="C11" s="306"/>
      <c r="D11" s="344"/>
      <c r="E11" s="305"/>
      <c r="F11" s="311"/>
      <c r="I11" s="42"/>
    </row>
    <row r="12" spans="1:9" s="1" customFormat="1" ht="36" customHeight="1" x14ac:dyDescent="0.25">
      <c r="A12" s="312" t="str">
        <f>VLOOKUP(LEFT($A13,4),'Auto Responses'!$N$4:$O$38,2,0)&amp;""</f>
        <v xml:space="preserve"> General Information</v>
      </c>
      <c r="B12" s="300"/>
      <c r="C12" s="313"/>
      <c r="D12" s="345"/>
      <c r="E12" s="314"/>
      <c r="F12" s="314"/>
      <c r="I12" s="42"/>
    </row>
    <row r="13" spans="1:9" s="1" customFormat="1" ht="22.4" customHeight="1" x14ac:dyDescent="0.25">
      <c r="A13" s="25" t="s">
        <v>21</v>
      </c>
      <c r="B13" s="26" t="str">
        <f>VLOOKUP($A13,Questions!$A$2:$X$333,2,0)&amp;""</f>
        <v>Solution Provider Name</v>
      </c>
      <c r="C13" s="83" t="s">
        <v>1645</v>
      </c>
      <c r="D13" s="39"/>
      <c r="E13" s="39"/>
      <c r="F13" s="57"/>
      <c r="I13" s="42"/>
    </row>
    <row r="14" spans="1:9" s="1" customFormat="1" ht="69" customHeight="1" x14ac:dyDescent="0.25">
      <c r="A14" s="25" t="s">
        <v>24</v>
      </c>
      <c r="B14" s="26" t="str">
        <f>VLOOKUP($A14,Questions!$A$2:$X$333,2,0)&amp;""</f>
        <v>Solution Name</v>
      </c>
      <c r="C14" s="83" t="s">
        <v>1646</v>
      </c>
      <c r="D14" s="39"/>
      <c r="E14" s="40"/>
      <c r="F14" s="57"/>
      <c r="I14" s="42"/>
    </row>
    <row r="15" spans="1:9" s="1" customFormat="1" ht="21.75" customHeight="1" x14ac:dyDescent="0.25">
      <c r="A15" s="25" t="s">
        <v>25</v>
      </c>
      <c r="B15" s="26" t="str">
        <f>VLOOKUP($A15,Questions!$A$2:$X$333,2,0)&amp;""</f>
        <v>Solution Description</v>
      </c>
      <c r="C15" s="360" t="s">
        <v>1647</v>
      </c>
      <c r="D15" s="39"/>
      <c r="E15" s="40"/>
      <c r="F15" s="57"/>
      <c r="I15" s="42"/>
    </row>
    <row r="16" spans="1:9" s="1" customFormat="1" ht="22.4" customHeight="1" x14ac:dyDescent="0.25">
      <c r="A16" s="25" t="s">
        <v>26</v>
      </c>
      <c r="B16" s="26" t="str">
        <f>VLOOKUP($A16,Questions!$A$2:$X$333,2,0)&amp;""</f>
        <v>Solution Provider Contact Name</v>
      </c>
      <c r="C16" s="83" t="s">
        <v>1648</v>
      </c>
      <c r="D16" s="39"/>
      <c r="E16" s="40"/>
      <c r="F16" s="57"/>
      <c r="I16" s="42"/>
    </row>
    <row r="17" spans="1:9" s="1" customFormat="1" ht="22.4" customHeight="1" x14ac:dyDescent="0.25">
      <c r="A17" s="25" t="s">
        <v>27</v>
      </c>
      <c r="B17" s="26" t="str">
        <f>VLOOKUP($A17,Questions!$A$2:$X$333,2,0)&amp;""</f>
        <v>Solution Provider Contact Title</v>
      </c>
      <c r="C17" s="83" t="s">
        <v>1649</v>
      </c>
      <c r="D17" s="15"/>
      <c r="E17" s="40"/>
      <c r="F17" s="57"/>
      <c r="I17" s="42"/>
    </row>
    <row r="18" spans="1:9" s="1" customFormat="1" ht="22.4" customHeight="1" x14ac:dyDescent="0.25">
      <c r="A18" s="25" t="s">
        <v>28</v>
      </c>
      <c r="B18" s="26" t="str">
        <f>VLOOKUP($A18,Questions!$A$2:$X$333,2,0)&amp;""</f>
        <v>Solution Provider Contact Email</v>
      </c>
      <c r="C18" s="83" t="s">
        <v>1650</v>
      </c>
      <c r="D18" s="39"/>
      <c r="E18" s="40"/>
      <c r="F18" s="57"/>
      <c r="I18" s="42"/>
    </row>
    <row r="19" spans="1:9" s="1" customFormat="1" ht="22.4" customHeight="1" x14ac:dyDescent="0.25">
      <c r="A19" s="25" t="s">
        <v>29</v>
      </c>
      <c r="B19" s="26" t="str">
        <f>VLOOKUP($A19,Questions!$A$2:$X$333,2,0)&amp;""</f>
        <v>Solution Provider Contact Phone Number</v>
      </c>
      <c r="C19" s="83" t="s">
        <v>1651</v>
      </c>
      <c r="D19" s="39"/>
      <c r="E19" s="40"/>
      <c r="F19" s="57"/>
      <c r="I19" s="42"/>
    </row>
    <row r="20" spans="1:9" s="1" customFormat="1" ht="22.4" customHeight="1" x14ac:dyDescent="0.25">
      <c r="A20" s="25" t="s">
        <v>30</v>
      </c>
      <c r="B20" s="26" t="str">
        <f>VLOOKUP($A20,Questions!$A$2:$X$333,2,0)&amp;""</f>
        <v>Country of Company Headquarters</v>
      </c>
      <c r="C20" s="83" t="s">
        <v>1652</v>
      </c>
      <c r="D20" s="39"/>
      <c r="E20" s="40"/>
      <c r="F20" s="57"/>
      <c r="I20" s="42"/>
    </row>
    <row r="21" spans="1:9" s="1" customFormat="1" ht="22.4" customHeight="1" x14ac:dyDescent="0.25">
      <c r="A21" s="25" t="s">
        <v>32</v>
      </c>
      <c r="B21" s="26" t="str">
        <f>VLOOKUP($A21,Questions!$A$2:$X$333,2,0)&amp;""</f>
        <v>Employee Work Locations (all)</v>
      </c>
      <c r="C21" s="83" t="s">
        <v>1653</v>
      </c>
      <c r="D21" s="39"/>
      <c r="E21" s="40"/>
      <c r="F21" s="57"/>
      <c r="I21" s="42"/>
    </row>
    <row r="22" spans="1:9" s="1" customFormat="1" ht="37.4" customHeight="1" thickBot="1" x14ac:dyDescent="0.3">
      <c r="A22" s="70" t="str">
        <f>VLOOKUP(LEFT($A23,4),'Auto Responses'!$N$4:$O$38,2,0)&amp;""</f>
        <v xml:space="preserve"> Company Information</v>
      </c>
      <c r="B22" s="29"/>
      <c r="C22" s="19" t="s">
        <v>1583</v>
      </c>
      <c r="D22" s="19" t="s">
        <v>72</v>
      </c>
      <c r="E22" s="38" t="s">
        <v>904</v>
      </c>
      <c r="F22" s="207" t="s">
        <v>905</v>
      </c>
      <c r="I22" s="42"/>
    </row>
    <row r="23" spans="1:9" s="1" customFormat="1" ht="55.5" customHeight="1" x14ac:dyDescent="0.25">
      <c r="A23" s="25" t="s">
        <v>35</v>
      </c>
      <c r="B23" s="24" t="str">
        <f>VLOOKUP($A23,Questions!$A$2:$X$333,2,0)&amp;""</f>
        <v>Do you have a dedicated software and system development team(s) (e.g., customer support, implementation, product management, etc.)?*</v>
      </c>
      <c r="C23" s="27" t="s">
        <v>40</v>
      </c>
      <c r="D23" s="333" t="s">
        <v>1654</v>
      </c>
      <c r="E23" s="174" t="str">
        <f>IF($C23="Yes",VLOOKUP($A23,Questions!$A$2:$X$333,17,0)&amp;"",IF($C23="No",VLOOKUP($A23,Questions!$A$2:$X$333,16,0)&amp;"",VLOOKUP($A23,Questions!$A$2:$X$333,15,0)&amp;""))</f>
        <v>Describe the structure and size of your software and system development teams. (e.g., customer support, implementation, product management, etc.).</v>
      </c>
      <c r="F23" s="208" t="str">
        <f>VLOOKUP($A23,'Institution Evaluation'!$A$56:$F$346,6,0)&amp;""</f>
        <v/>
      </c>
      <c r="I23" s="42"/>
    </row>
    <row r="24" spans="1:9" s="1" customFormat="1" ht="283.5" x14ac:dyDescent="0.25">
      <c r="A24" s="25" t="s">
        <v>42</v>
      </c>
      <c r="B24" s="24" t="str">
        <f>VLOOKUP($A24,Questions!$A$2:$X$333,2,0)&amp;""</f>
        <v>Describe your organization’s business background and ownership structure, including all parent and subsidiary relationships.</v>
      </c>
      <c r="C24" s="361" t="s">
        <v>1655</v>
      </c>
      <c r="D24" s="333"/>
      <c r="E24" s="174" t="str">
        <f>IF($C24="Yes",VLOOKUP($A24,Questions!$A$2:$X$333,17,0)&amp;"",IF($C24="No",VLOOKUP($A24,Questions!$A$2:$X$333,16,0)&amp;"",VLOOKUP($A24,Questions!$A$2:$X$333,15,0)&amp;""))</f>
        <v>Include circumstances that may involve offshoring or multinational agreements.</v>
      </c>
      <c r="F24" s="208" t="str">
        <f>VLOOKUP($A24,'Institution Evaluation'!$A$56:$F$346,6,0)&amp;""</f>
        <v/>
      </c>
      <c r="I24" s="42"/>
    </row>
    <row r="25" spans="1:9" s="1" customFormat="1" ht="39.75" customHeight="1" x14ac:dyDescent="0.25">
      <c r="A25" s="25" t="s">
        <v>44</v>
      </c>
      <c r="B25" s="24" t="str">
        <f>VLOOKUP($A25,Questions!$A$2:$X$333,2,0)&amp;""</f>
        <v>Have you operated without unplanned disruptions to this solution in the past 12 months?</v>
      </c>
      <c r="C25" s="27" t="s">
        <v>149</v>
      </c>
      <c r="D25" s="333" t="s">
        <v>1825</v>
      </c>
      <c r="E25" s="174" t="str">
        <f>IF($C25="Yes",VLOOKUP($A25,Questions!$A$2:$X$333,17,0)&amp;"",IF($C25="No",VLOOKUP($A25,Questions!$A$2:$X$333,16,0)&amp;"",VLOOKUP($A25,Questions!$A$2:$X$333,15,0)&amp;""))</f>
        <v>Provide a detailed summary of the unplanned disruption.</v>
      </c>
      <c r="F25" s="208" t="str">
        <f>VLOOKUP($A25,'Institution Evaluation'!$A$56:$F$346,6,0)&amp;""</f>
        <v/>
      </c>
      <c r="I25" s="42"/>
    </row>
    <row r="26" spans="1:9" s="1" customFormat="1" ht="49.5" customHeight="1" x14ac:dyDescent="0.25">
      <c r="A26" s="25" t="s">
        <v>45</v>
      </c>
      <c r="B26" s="24" t="str">
        <f>VLOOKUP($A26,Questions!$A$2:$X$333,2,0)&amp;""</f>
        <v>Do you have a dedicated information security staff or office?</v>
      </c>
      <c r="C26" s="27" t="s">
        <v>40</v>
      </c>
      <c r="D26" s="333" t="s">
        <v>1656</v>
      </c>
      <c r="E26" s="174" t="str">
        <f>IF($C26="Yes",VLOOKUP($A26,Questions!$A$2:$X$333,17,0)&amp;"",IF($C26="No",VLOOKUP($A26,Questions!$A$2:$X$333,16,0)&amp;"",VLOOKUP($A26,Questions!$A$2:$X$333,15,0)&amp;""))</f>
        <v>Describe your information security office, including size, talents, resources, etc.</v>
      </c>
      <c r="F26" s="208" t="str">
        <f>VLOOKUP($A26,'Institution Evaluation'!$A$56:$F$346,6,0)&amp;""</f>
        <v/>
      </c>
      <c r="I26" s="42"/>
    </row>
    <row r="27" spans="1:9" s="1" customFormat="1" ht="378.5" thickBot="1" x14ac:dyDescent="0.3">
      <c r="A27" s="25" t="s">
        <v>47</v>
      </c>
      <c r="B27" s="24" t="str">
        <f>VLOOKUP($A27,Questions!$A$2:$X$333,2,0)&amp;""</f>
        <v>Use this area to share information about your environment that will assist those who are assessing your company's data security program.</v>
      </c>
      <c r="C27" s="360" t="s">
        <v>1657</v>
      </c>
      <c r="D27" s="333"/>
      <c r="E27" s="174" t="str">
        <f>IF($C27="Yes",VLOOKUP($A27,Questions!$A$2:$X$333,17,0)&amp;"",IF($C27="No",VLOOKUP($A27,Questions!$A$2:$X$333,16,0)&amp;"",VLOOKUP($A27,Questions!$A$2:$X$333,15,0)&amp;""))</f>
        <v>Share any details that would help information security analysts assess your solution.</v>
      </c>
      <c r="F27" s="208" t="str">
        <f>VLOOKUP($A27,'Institution Evaluation'!$A$56:$F$346,6,0)&amp;""</f>
        <v/>
      </c>
      <c r="G27" s="255" t="s">
        <v>1531</v>
      </c>
      <c r="I27" s="42"/>
    </row>
    <row r="28" spans="1:9" s="1" customFormat="1" ht="37.4" customHeight="1" thickBot="1" x14ac:dyDescent="0.3">
      <c r="A28" s="70" t="str">
        <f>VLOOKUP(LEFT($A29,4),'Auto Responses'!$N$4:$O$38,2,0)&amp;""</f>
        <v xml:space="preserve"> Required Questions</v>
      </c>
      <c r="B28" s="29"/>
      <c r="C28" s="19" t="s">
        <v>1583</v>
      </c>
      <c r="D28" s="19" t="s">
        <v>72</v>
      </c>
      <c r="E28" s="38" t="s">
        <v>904</v>
      </c>
      <c r="F28" s="194" t="s">
        <v>905</v>
      </c>
      <c r="I28" s="42"/>
    </row>
    <row r="29" spans="1:9" s="1" customFormat="1" ht="48" customHeight="1" x14ac:dyDescent="0.25">
      <c r="A29" s="25" t="s">
        <v>48</v>
      </c>
      <c r="B29" s="24" t="str">
        <f>VLOOKUP($A29,Questions!$A$2:$X$333,2,0)&amp;""</f>
        <v>Are you offering either a product or platform, as opposed to only offering a service</v>
      </c>
      <c r="C29" s="27" t="s">
        <v>40</v>
      </c>
      <c r="D29" s="46"/>
      <c r="E29" s="174" t="str">
        <f>IF($C29="Yes",VLOOKUP($A29,Questions!$A$2:$X$333,17,0)&amp;"",IF($C29="No",VLOOKUP($A29,Questions!$A$2:$X$333,16,0)&amp;"",VLOOKUP($A29,Questions!$A$2:$X$333,15,0)&amp;""))</f>
        <v>DO complete the Product and Infrastructure worksheets</v>
      </c>
      <c r="F29" s="208" t="str">
        <f>VLOOKUP($A29,'Institution Evaluation'!$A$56:$F$346,6,0)&amp;""</f>
        <v/>
      </c>
      <c r="I29" s="42"/>
    </row>
    <row r="30" spans="1:9" s="1" customFormat="1" ht="58.5" customHeight="1" x14ac:dyDescent="0.25">
      <c r="A30" s="25" t="s">
        <v>51</v>
      </c>
      <c r="B30" s="24" t="str">
        <f>VLOOKUP($A30,Questions!$A$2:$X$333,2,0)&amp;""</f>
        <v>Does your product or service have an interface?</v>
      </c>
      <c r="C30" s="27" t="s">
        <v>40</v>
      </c>
      <c r="D30" s="46"/>
      <c r="E30" s="174" t="str">
        <f>IF($C30="Yes",VLOOKUP($A30,Questions!$A$2:$X$333,17,0)&amp;"",IF($C30="No",VLOOKUP($A30,Questions!$A$2:$X$333,16,0)&amp;"",VLOOKUP($A30,Questions!$A$2:$X$333,15,0)&amp;""))</f>
        <v>DO complete the IT Accessibility worksheet.</v>
      </c>
      <c r="F30" s="208" t="str">
        <f>VLOOKUP($A30,'Institution Evaluation'!$A$56:$F$346,6,0)&amp;""</f>
        <v/>
      </c>
      <c r="I30" s="42"/>
    </row>
    <row r="31" spans="1:9" s="1" customFormat="1" ht="54" customHeight="1" x14ac:dyDescent="0.25">
      <c r="A31" s="25" t="s">
        <v>54</v>
      </c>
      <c r="B31" s="24" t="str">
        <f>VLOOKUP($A31,Questions!$A$2:$X$333,2,0)&amp;""</f>
        <v>Are you providing consulting services?</v>
      </c>
      <c r="C31" s="27" t="s">
        <v>149</v>
      </c>
      <c r="D31" s="46" t="s">
        <v>1658</v>
      </c>
      <c r="E31" s="174" t="str">
        <f>IF($C31="Yes",VLOOKUP($A31,Questions!$A$2:$X$333,17,0)&amp;"",IF($C31="No",VLOOKUP($A31,Questions!$A$2:$X$333,16,0)&amp;"",VLOOKUP($A31,Questions!$A$2:$X$333,15,0)&amp;""))</f>
        <v>DO NOT complete the Consulting section in the Case-Specific worksheet</v>
      </c>
      <c r="F31" s="208" t="str">
        <f>VLOOKUP($A31,'Institution Evaluation'!$A$56:$F$346,6,0)&amp;""</f>
        <v/>
      </c>
      <c r="I31" s="42"/>
    </row>
    <row r="32" spans="1:9" s="1" customFormat="1" ht="54" customHeight="1" x14ac:dyDescent="0.25">
      <c r="A32" s="25" t="s">
        <v>58</v>
      </c>
      <c r="B32" s="24" t="str">
        <f>VLOOKUP($A32,Questions!$A$2:$X$333,2,0)&amp;""</f>
        <v>Does your solution have AI features, or are there plans to implement AI features in the next 12 months?</v>
      </c>
      <c r="C32" s="27" t="s">
        <v>149</v>
      </c>
      <c r="D32" s="46"/>
      <c r="E32" s="174" t="str">
        <f>IF($C32="Yes",VLOOKUP($A32,Questions!$A$2:$X$333,17,0)&amp;"",IF($C32="No",VLOOKUP($A32,Questions!$A$2:$X$333,16,0)&amp;"",VLOOKUP($A32,Questions!$A$2:$X$333,15,0)&amp;""))</f>
        <v>DO NOT complete the Artificial Intelligence (AI) worksheet</v>
      </c>
      <c r="F32" s="208" t="str">
        <f>VLOOKUP($A32,'Institution Evaluation'!$A$56:$F$346,6,0)&amp;""</f>
        <v/>
      </c>
      <c r="I32" s="42"/>
    </row>
    <row r="33" spans="1:10" s="1" customFormat="1" ht="54" customHeight="1" x14ac:dyDescent="0.25">
      <c r="A33" s="25" t="s">
        <v>61</v>
      </c>
      <c r="B33" s="24" t="str">
        <f>VLOOKUP($A33,Questions!$A$2:$X$333,2,0)&amp;""</f>
        <v>Does your solution process protected health information (PHI) or any data covered by the Health Insurance Portability and Accountability Act (HIPAA)?</v>
      </c>
      <c r="C33" s="27" t="s">
        <v>149</v>
      </c>
      <c r="D33" s="46" t="s">
        <v>1659</v>
      </c>
      <c r="E33" s="174" t="str">
        <f>IF($C33="Yes",VLOOKUP($A33,Questions!$A$2:$X$333,17,0)&amp;"",IF($C33="No",VLOOKUP($A33,Questions!$A$2:$X$333,16,0)&amp;"",VLOOKUP($A33,Questions!$A$2:$X$333,15,0)&amp;""))</f>
        <v>DO NOT complete the HIPAA section in the Case-Specific worksheet</v>
      </c>
      <c r="F33" s="208" t="str">
        <f>VLOOKUP($A33,'Institution Evaluation'!$A$56:$F$346,6,0)&amp;""</f>
        <v/>
      </c>
      <c r="I33" s="42"/>
    </row>
    <row r="34" spans="1:10" s="1" customFormat="1" ht="54" customHeight="1" x14ac:dyDescent="0.25">
      <c r="A34" s="25" t="s">
        <v>64</v>
      </c>
      <c r="B34" s="24" t="str">
        <f>VLOOKUP($A34,Questions!$A$2:$X$333,2,0)&amp;""</f>
        <v>Is the solution designed to process, store, or transmit credit card information?</v>
      </c>
      <c r="C34" s="27" t="s">
        <v>149</v>
      </c>
      <c r="D34" s="46" t="s">
        <v>1660</v>
      </c>
      <c r="E34" s="174" t="str">
        <f>IF($C34="Yes",VLOOKUP($A34,Questions!$A$2:$X$333,17,0)&amp;"",IF($C34="No",VLOOKUP($A34,Questions!$A$2:$X$333,16,0)&amp;"",VLOOKUP($A34,Questions!$A$2:$X$333,15,0)&amp;""))</f>
        <v>DO NOT complete the PCI-DSS section in the Case-Specific worksheet</v>
      </c>
      <c r="F34" s="208" t="str">
        <f>VLOOKUP($A34,'Institution Evaluation'!$A$56:$F$346,6,0)&amp;""</f>
        <v/>
      </c>
      <c r="I34" s="42"/>
    </row>
    <row r="35" spans="1:10" s="1" customFormat="1" ht="66" customHeight="1" x14ac:dyDescent="0.25">
      <c r="A35" s="25" t="s">
        <v>67</v>
      </c>
      <c r="B35" s="24" t="str">
        <f>VLOOKUP($A35,Questions!$A$2:$X$333,2,0)&amp;""</f>
        <v>Does operating your solution require the institution to operate a physical or virtual appliance in their own environment or to provide inbound firewall exceptions to allow your employees to remotely administer systems in the institution's environment?</v>
      </c>
      <c r="C35" s="27" t="s">
        <v>149</v>
      </c>
      <c r="D35" s="46"/>
      <c r="E35" s="174" t="str">
        <f>IF($C35="Yes",VLOOKUP($A35,Questions!$A$2:$X$333,17,0)&amp;"",IF($C35="No",VLOOKUP($A35,Questions!$A$2:$X$333,16,0)&amp;"",VLOOKUP($A35,Questions!$A$2:$X$333,15,0)&amp;""))</f>
        <v>DO NOT complete the On-Prem section in the Case-Specific worksheet</v>
      </c>
      <c r="F35" s="208" t="str">
        <f>VLOOKUP($A35,'Institution Evaluation'!$A$56:$F$346,6,0)&amp;""</f>
        <v/>
      </c>
      <c r="I35" s="42"/>
    </row>
    <row r="36" spans="1:10" s="1" customFormat="1" ht="63.75" customHeight="1" x14ac:dyDescent="0.25">
      <c r="A36" s="162" t="s">
        <v>1025</v>
      </c>
      <c r="B36" s="24" t="str">
        <f>VLOOKUP($A36,Questions!$A$2:$X$333,2,0)&amp;""</f>
        <v>Does your solution have access to personal or institutional data?</v>
      </c>
      <c r="C36" s="27" t="s">
        <v>40</v>
      </c>
      <c r="D36" s="46"/>
      <c r="E36" s="174" t="str">
        <f>IF($C36="Yes",VLOOKUP($A36,Questions!$A$2:$X$333,17,0)&amp;"",IF($C36="No",VLOOKUP($A36,Questions!$A$2:$X$333,16,0)&amp;"",VLOOKUP($A36,Questions!$A$2:$X$333,15,0)&amp;""))</f>
        <v>DO complete the Privacy tab</v>
      </c>
      <c r="F36" s="208" t="str">
        <f>VLOOKUP($A36,'Institution Evaluation'!$A$56:$F$346,6,0)&amp;""</f>
        <v/>
      </c>
      <c r="G36" s="255" t="s">
        <v>1531</v>
      </c>
      <c r="H36" s="42"/>
      <c r="J36" s="42"/>
    </row>
    <row r="37" spans="1:10" s="178" customFormat="1" ht="63.75" customHeight="1" x14ac:dyDescent="0.25">
      <c r="A37" s="263" t="s">
        <v>1549</v>
      </c>
      <c r="B37" s="271"/>
      <c r="C37" s="272"/>
      <c r="D37" s="273"/>
      <c r="E37" s="274"/>
      <c r="F37" s="275"/>
      <c r="G37" s="276"/>
      <c r="H37" s="179"/>
      <c r="J37" s="179"/>
    </row>
    <row r="38" spans="1:10" ht="24.75" customHeight="1" x14ac:dyDescent="0.25">
      <c r="A38" s="285" t="s">
        <v>1593</v>
      </c>
    </row>
    <row r="39" spans="1:10" ht="15" hidden="1" customHeight="1" x14ac:dyDescent="0.25"/>
    <row r="74" ht="15" hidden="1" customHeight="1" x14ac:dyDescent="0.25"/>
    <row r="75" ht="15" hidden="1" customHeight="1" x14ac:dyDescent="0.25"/>
  </sheetData>
  <phoneticPr fontId="27" type="noConversion"/>
  <dataValidations count="2">
    <dataValidation allowBlank="1" showInputMessage="1" showErrorMessage="1" promptTitle="Warning!" prompt="The HECVAT is built using a number of complex formulas. Editing this cell can break the functionality of the tool. " sqref="C28:D28 C2:F2 C4:F12 C22:F22 A3:A38 B1:B38 A1 E23:F36" xr:uid="{A6718379-8163-48CF-875B-B0E3FCD41C9E}"/>
    <dataValidation allowBlank="1" showInputMessage="1" showErrorMessage="1" prompt="This cell should be left blank. Input your answer in column C." sqref="D24 D27 D3:F3 D16 D13:F15 D18:F21 E16:F17" xr:uid="{D49D790A-2236-4562-8A1A-C1D1B1C43217}"/>
  </dataValidations>
  <hyperlinks>
    <hyperlink ref="A11" r:id="rId1" display="http://www.educause.edu/HECVAT" xr:uid="{C8C809B9-E9A3-4614-BD81-E36A46E9EC44}"/>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243AC80-4E0C-4331-B186-AF166D479850}">
          <x14:formula1>
            <xm:f>'Auto Responses'!$J$3:$J$4</xm:f>
          </x14:formula1>
          <xm:sqref>C23 C25:C26 C29:C37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2A95-A044-48B4-B148-275DEF58F358}">
  <sheetPr>
    <tabColor rgb="FF00636C"/>
  </sheetPr>
  <dimension ref="A1:L112"/>
  <sheetViews>
    <sheetView showGridLines="0" showZeros="0" topLeftCell="A27" zoomScale="80" zoomScaleNormal="80" workbookViewId="0">
      <selection activeCell="C53" sqref="C53:D67"/>
    </sheetView>
  </sheetViews>
  <sheetFormatPr defaultColWidth="0" defaultRowHeight="0" customHeight="1" zeroHeight="1" x14ac:dyDescent="0.25"/>
  <cols>
    <col min="1" max="1" width="8.265625" customWidth="1"/>
    <col min="2" max="2" width="55.06640625" style="1" customWidth="1"/>
    <col min="3" max="3" width="18.86328125" style="14" customWidth="1"/>
    <col min="4" max="4" width="55.6640625" style="15" customWidth="1"/>
    <col min="5" max="5" width="32" style="16" customWidth="1"/>
    <col min="6" max="6" width="30.6640625" style="1" customWidth="1"/>
    <col min="7" max="7" width="18.06640625" style="1" customWidth="1"/>
    <col min="8" max="8" width="18.06640625" style="1" hidden="1" customWidth="1"/>
    <col min="9" max="10" width="18.06640625" style="42" hidden="1" customWidth="1"/>
    <col min="11" max="11" width="4.46484375" style="1" hidden="1" customWidth="1"/>
    <col min="12" max="12" width="6.59765625" style="1" hidden="1" customWidth="1"/>
    <col min="13" max="16384" width="6.59765625" hidden="1"/>
  </cols>
  <sheetData>
    <row r="1" spans="1:10" ht="0" hidden="1" customHeight="1" x14ac:dyDescent="0.25">
      <c r="A1" t="s">
        <v>1530</v>
      </c>
    </row>
    <row r="2" spans="1:10" ht="36" customHeight="1" x14ac:dyDescent="0.25">
      <c r="A2" s="175" t="s">
        <v>1600</v>
      </c>
      <c r="B2" s="175"/>
      <c r="C2" s="176"/>
      <c r="D2" s="328"/>
      <c r="E2" s="177"/>
      <c r="F2" s="177" t="str">
        <f>'Auto Responses'!$A$36</f>
        <v>Version 4.1.0</v>
      </c>
      <c r="J2" s="1"/>
    </row>
    <row r="3" spans="1:10" s="1" customFormat="1" ht="29.15" customHeight="1" x14ac:dyDescent="0.25">
      <c r="A3" s="44" t="s">
        <v>996</v>
      </c>
      <c r="B3" s="45"/>
      <c r="C3" s="73">
        <f>'START HERE'!$C$3</f>
        <v>45894</v>
      </c>
      <c r="D3" s="329"/>
      <c r="E3" s="43"/>
      <c r="F3" s="57"/>
      <c r="I3" s="42"/>
    </row>
    <row r="4" spans="1:10" s="1" customFormat="1" ht="36" customHeight="1" x14ac:dyDescent="0.25">
      <c r="A4" s="17" t="s">
        <v>921</v>
      </c>
      <c r="B4" s="18"/>
      <c r="C4" s="19"/>
      <c r="D4" s="20"/>
      <c r="E4" s="21"/>
      <c r="F4" s="21"/>
      <c r="I4" s="42"/>
    </row>
    <row r="5" spans="1:10" s="1" customFormat="1" ht="19.5" customHeight="1" x14ac:dyDescent="0.25">
      <c r="A5" s="49" t="str">
        <f>HLOOKUP($A$4,'Auto Responses'!$D$2:$D$8,2,0)&amp;""</f>
        <v>1. Complete the "Start Here" tab and review the "Required Questions" guidance to find the other sections are required for your product or service.</v>
      </c>
      <c r="B5" s="22"/>
      <c r="C5" s="74"/>
      <c r="D5" s="330"/>
      <c r="E5" s="22"/>
      <c r="F5" s="279"/>
      <c r="I5" s="42"/>
    </row>
    <row r="6" spans="1:10" s="1" customFormat="1" ht="19.5" customHeight="1" x14ac:dyDescent="0.25">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10" s="1" customFormat="1" ht="19.5" customHeight="1" x14ac:dyDescent="0.25">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10" s="1" customFormat="1" ht="19.5" customHeight="1" x14ac:dyDescent="0.25">
      <c r="A8" s="49" t="str">
        <f>HLOOKUP($A$4,'Auto Responses'!$D$2:$D$8,5,0)&amp;""</f>
        <v>4. DO NOT complete any fields in the "Evaluation" sheets or the "Analyst Notes" column.</v>
      </c>
      <c r="B8" s="22"/>
      <c r="C8" s="74"/>
      <c r="D8" s="330"/>
      <c r="E8" s="22"/>
      <c r="F8" s="280"/>
      <c r="I8" s="42"/>
    </row>
    <row r="9" spans="1:10" s="1" customFormat="1" ht="19.5" customHeight="1" x14ac:dyDescent="0.25">
      <c r="A9" s="49" t="str">
        <f>HLOOKUP($A$4,'Auto Responses'!$D$2:$D$8,6,0)&amp;""</f>
        <v>5. Return the completed file to institutions.</v>
      </c>
      <c r="B9" s="22"/>
      <c r="C9" s="74"/>
      <c r="D9" s="330"/>
      <c r="E9" s="22"/>
      <c r="F9" s="280"/>
      <c r="I9" s="42"/>
    </row>
    <row r="10" spans="1:10" s="1" customFormat="1" ht="19.5" customHeight="1" x14ac:dyDescent="0.25">
      <c r="A10" s="265" t="str">
        <f>HLOOKUP($A$4,'Auto Responses'!$D$2:$D$8,7,0)&amp;""</f>
        <v>* Denotes critical questions. Critical questions are those deemed most important to institutions by higher education volunteers.</v>
      </c>
      <c r="B10" s="22"/>
      <c r="C10" s="74"/>
      <c r="D10" s="330"/>
      <c r="E10" s="22"/>
      <c r="F10" s="280"/>
      <c r="I10" s="42"/>
    </row>
    <row r="11" spans="1:10" s="267" customFormat="1" ht="19.5" customHeight="1" x14ac:dyDescent="0.25">
      <c r="A11" s="264" t="str">
        <f>HLOOKUP($A$4,'Auto Responses'!$D$2:$D$9,8,0)&amp;""</f>
        <v>For full instructions, please visit educause.edu/HECVAT</v>
      </c>
      <c r="B11" s="265"/>
      <c r="C11" s="266"/>
      <c r="D11" s="339"/>
      <c r="E11" s="265"/>
      <c r="F11" s="282"/>
      <c r="I11" s="268"/>
    </row>
    <row r="12" spans="1:10" s="1" customFormat="1" ht="36" customHeight="1" x14ac:dyDescent="0.25">
      <c r="A12" s="70" t="str">
        <f>VLOOKUP(LEFT($A13,4),'Auto Responses'!$N$4:$O$38,2,0)&amp;""</f>
        <v xml:space="preserve"> General Information</v>
      </c>
      <c r="B12" s="18"/>
      <c r="C12" s="19" t="s">
        <v>1583</v>
      </c>
      <c r="D12" s="331"/>
      <c r="E12" s="23"/>
      <c r="F12" s="23"/>
      <c r="I12" s="42"/>
      <c r="J12" s="42"/>
    </row>
    <row r="13" spans="1:10" s="1" customFormat="1" ht="22.4" customHeight="1" x14ac:dyDescent="0.25">
      <c r="A13" s="25" t="s">
        <v>21</v>
      </c>
      <c r="B13" s="26" t="str">
        <f>VLOOKUP($A13,Questions!$A$2:$X$333,2,0)&amp;""</f>
        <v>Solution Provider Name</v>
      </c>
      <c r="C13" s="83" t="str">
        <f>VLOOKUP($A13,'START HERE'!$A$13:$C$21,3,0)&amp;""</f>
        <v xml:space="preserve">Cirrus Identity </v>
      </c>
      <c r="D13" s="39"/>
      <c r="E13" s="39"/>
      <c r="F13" s="57"/>
      <c r="I13" s="42"/>
      <c r="J13" s="42"/>
    </row>
    <row r="14" spans="1:10" s="1" customFormat="1" ht="22.4" customHeight="1" x14ac:dyDescent="0.25">
      <c r="A14" s="25" t="s">
        <v>24</v>
      </c>
      <c r="B14" s="26" t="str">
        <f>VLOOKUP($A14,Questions!$A$2:$X$333,2,0)&amp;""</f>
        <v>Solution Name</v>
      </c>
      <c r="C14" s="83" t="str">
        <f>VLOOKUP($A14,'START HERE'!$A$13:$C$21,3,0)&amp;""</f>
        <v>Cirrus Identity Gateway, Cirrus Identity Proxy, Cirrus Identity Bridge, Cirrus Identity Attribute Authority, Cirrus Identity Invitation, Cirrus Identity Account Linking, Cirrus Identity OrgBrandedID, and Cirrus Identity MFA -- Collective referred to as Cirrus Identity Products</v>
      </c>
      <c r="D14" s="39"/>
      <c r="E14" s="39"/>
      <c r="F14" s="57"/>
      <c r="I14" s="42"/>
      <c r="J14" s="42"/>
    </row>
    <row r="15" spans="1:10" s="1" customFormat="1" ht="22.4" customHeight="1" x14ac:dyDescent="0.25">
      <c r="A15" s="25" t="s">
        <v>25</v>
      </c>
      <c r="B15" s="26" t="str">
        <f>VLOOKUP($A15,Questions!$A$2:$X$333,2,0)&amp;""</f>
        <v>Solution Description</v>
      </c>
      <c r="C15" s="83" t="str">
        <f>VLOOKUP($A15,'START HERE'!$A$13:$C$21,3,0)&amp;""</f>
        <v>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v>
      </c>
      <c r="D15" s="39"/>
      <c r="E15" s="39"/>
      <c r="F15" s="57"/>
      <c r="I15" s="42"/>
      <c r="J15" s="42"/>
    </row>
    <row r="16" spans="1:10" s="1" customFormat="1" ht="22.4" customHeight="1" x14ac:dyDescent="0.25">
      <c r="A16" s="25" t="s">
        <v>26</v>
      </c>
      <c r="B16" s="26" t="str">
        <f>VLOOKUP($A16,Questions!$A$2:$X$333,2,0)&amp;""</f>
        <v>Solution Provider Contact Name</v>
      </c>
      <c r="C16" s="83" t="str">
        <f>VLOOKUP($A16,'START HERE'!$A$13:$C$21,3,0)&amp;""</f>
        <v xml:space="preserve">Mark Rank </v>
      </c>
      <c r="D16" s="39"/>
      <c r="E16" s="39"/>
      <c r="F16" s="57"/>
      <c r="I16" s="42"/>
      <c r="J16" s="42"/>
    </row>
    <row r="17" spans="1:10" s="1" customFormat="1" ht="22.4" customHeight="1" x14ac:dyDescent="0.25">
      <c r="A17" s="25" t="s">
        <v>27</v>
      </c>
      <c r="B17" s="26" t="str">
        <f>VLOOKUP($A17,Questions!$A$2:$X$333,2,0)&amp;""</f>
        <v>Solution Provider Contact Title</v>
      </c>
      <c r="C17" s="83" t="str">
        <f>VLOOKUP($A17,'START HERE'!$A$13:$C$21,3,0)&amp;""</f>
        <v>Director of Compliance and Strategic Insights</v>
      </c>
      <c r="D17" s="39"/>
      <c r="E17" s="39"/>
      <c r="F17" s="57"/>
      <c r="I17" s="42"/>
      <c r="J17" s="42"/>
    </row>
    <row r="18" spans="1:10" s="1" customFormat="1" ht="22.4" customHeight="1" x14ac:dyDescent="0.25">
      <c r="A18" s="25" t="s">
        <v>28</v>
      </c>
      <c r="B18" s="26" t="str">
        <f>VLOOKUP($A18,Questions!$A$2:$X$333,2,0)&amp;""</f>
        <v>Solution Provider Contact Email</v>
      </c>
      <c r="C18" s="83" t="str">
        <f>VLOOKUP($A18,'START HERE'!$A$13:$C$21,3,0)&amp;""</f>
        <v>mark.rank@cirrusidentity.com</v>
      </c>
      <c r="D18" s="39"/>
      <c r="E18" s="39"/>
      <c r="F18" s="57"/>
      <c r="I18" s="42"/>
      <c r="J18" s="42"/>
    </row>
    <row r="19" spans="1:10" s="1" customFormat="1" ht="22.4" customHeight="1" x14ac:dyDescent="0.25">
      <c r="A19" s="25" t="s">
        <v>29</v>
      </c>
      <c r="B19" s="26" t="str">
        <f>VLOOKUP($A19,Questions!$A$2:$X$333,2,0)&amp;""</f>
        <v>Solution Provider Contact Phone Number</v>
      </c>
      <c r="C19" s="83" t="str">
        <f>VLOOKUP($A19,'START HERE'!$A$13:$C$21,3,0)&amp;""</f>
        <v>414-331-1476</v>
      </c>
      <c r="D19" s="39"/>
      <c r="E19" s="39"/>
      <c r="F19" s="57"/>
      <c r="I19" s="42"/>
      <c r="J19" s="42"/>
    </row>
    <row r="20" spans="1:10" s="1" customFormat="1" ht="22.4" customHeight="1" thickBot="1" x14ac:dyDescent="0.3">
      <c r="A20" s="25" t="s">
        <v>30</v>
      </c>
      <c r="B20" s="26" t="str">
        <f>VLOOKUP($A20,Questions!$A$2:$X$333,2,0)&amp;""</f>
        <v>Country of Company Headquarters</v>
      </c>
      <c r="C20" s="83" t="str">
        <f>VLOOKUP($A20,'START HERE'!$A$13:$C$21,3,0)&amp;""</f>
        <v>United States</v>
      </c>
      <c r="D20" s="39"/>
      <c r="E20" s="39"/>
      <c r="F20" s="57"/>
      <c r="I20" s="42"/>
      <c r="J20" s="42"/>
    </row>
    <row r="21" spans="1:10" s="1" customFormat="1" ht="37.4" customHeight="1" thickBot="1" x14ac:dyDescent="0.3">
      <c r="A21" s="70" t="str">
        <f>VLOOKUP(LEFT($A22,4),'Auto Responses'!$N$4:$O$38,2,0)&amp;""</f>
        <v xml:space="preserve"> Documentation</v>
      </c>
      <c r="B21" s="29"/>
      <c r="C21" s="19" t="s">
        <v>1583</v>
      </c>
      <c r="D21" s="19" t="s">
        <v>72</v>
      </c>
      <c r="E21" s="38" t="s">
        <v>904</v>
      </c>
      <c r="F21" s="194" t="s">
        <v>905</v>
      </c>
      <c r="I21" s="42"/>
      <c r="J21" s="42"/>
    </row>
    <row r="22" spans="1:10" s="1" customFormat="1" ht="38.25" customHeight="1" x14ac:dyDescent="0.25">
      <c r="A22" s="25" t="s">
        <v>70</v>
      </c>
      <c r="B22" s="24" t="str">
        <f>VLOOKUP($A22,Questions!$A$2:$X$333,2,0)</f>
        <v>Do you have a well-documented business continuity plan (BCP), with a clear owner, that is tested annually?*</v>
      </c>
      <c r="C22" s="27" t="s">
        <v>40</v>
      </c>
      <c r="D22" s="41" t="s">
        <v>1661</v>
      </c>
      <c r="E22" s="174" t="str">
        <f>IF($C22="Yes",VLOOKUP($A22,Questions!$A$2:$X$333,17,0)&amp;"",IF($C22="No",VLOOKUP($A22,Questions!$A$2:$X$333,16,0)&amp;"",VLOOKUP($A22,Questions!$A$2:$X$333,15,0)&amp;""))</f>
        <v/>
      </c>
      <c r="F22" s="208" t="str">
        <f>VLOOKUP($A22,'Institution Evaluation'!$A$56:$F$346,6,0)&amp;""</f>
        <v/>
      </c>
      <c r="I22" s="42"/>
      <c r="J22" s="42"/>
    </row>
    <row r="23" spans="1:10" s="1" customFormat="1" ht="38.25" customHeight="1" x14ac:dyDescent="0.25">
      <c r="A23" s="25" t="s">
        <v>76</v>
      </c>
      <c r="B23" s="24" t="str">
        <f>VLOOKUP($A23,Questions!$A$2:$X$333,2,0)</f>
        <v>Do you have a well-documented disaster recovery plan (DRP), with a clear owner, that is tested annually?*</v>
      </c>
      <c r="C23" s="27" t="s">
        <v>40</v>
      </c>
      <c r="D23" s="41" t="s">
        <v>1662</v>
      </c>
      <c r="E23" s="174" t="str">
        <f>IF($C23="Yes",VLOOKUP($A23,Questions!$A$2:$X$333,17,0)&amp;"",IF($C23="No",VLOOKUP($A23,Questions!$A$2:$X$333,16,0)&amp;"",VLOOKUP($A23,Questions!$A$2:$X$333,15,0)&amp;""))</f>
        <v/>
      </c>
      <c r="F23" s="208" t="str">
        <f>VLOOKUP($A23,'Institution Evaluation'!$A$56:$F$346,6,0)&amp;""</f>
        <v/>
      </c>
      <c r="I23" s="42"/>
      <c r="J23" s="42"/>
    </row>
    <row r="24" spans="1:10" s="1" customFormat="1" ht="45.75" customHeight="1" x14ac:dyDescent="0.25">
      <c r="A24" s="25" t="s">
        <v>77</v>
      </c>
      <c r="B24" s="24" t="str">
        <f>VLOOKUP($A24,Questions!$A$2:$X$333,2,0)</f>
        <v>Have you undergone a SSAE 18/SOC 2 audit?</v>
      </c>
      <c r="C24" s="27" t="s">
        <v>40</v>
      </c>
      <c r="D24" s="41" t="s">
        <v>1663</v>
      </c>
      <c r="E24" s="174" t="str">
        <f>IF($C24="Yes",VLOOKUP($A24,Questions!$A$2:$X$333,17,0)&amp;"",IF($C24="No",VLOOKUP($A24,Questions!$A$2:$X$333,16,0)&amp;"",VLOOKUP($A24,Questions!$A$2:$X$333,15,0)&amp;""))</f>
        <v>Provide the date of assessment and include a SOC 2 Type 2 (preferred) or SOC 3 report. If you have a SOC 3 report, state how to obtain a copy. Indicate if your hosting provider was the subject of the audit.</v>
      </c>
      <c r="F24" s="208" t="str">
        <f>VLOOKUP($A24,'Institution Evaluation'!$A$56:$F$346,6,0)&amp;""</f>
        <v/>
      </c>
      <c r="I24" s="42"/>
      <c r="J24" s="42"/>
    </row>
    <row r="25" spans="1:10" s="1" customFormat="1" ht="48" customHeight="1" x14ac:dyDescent="0.25">
      <c r="A25" s="25" t="s">
        <v>80</v>
      </c>
      <c r="B25" s="24" t="str">
        <f>VLOOKUP($A25,Questions!$A$2:$X$333,2,0)</f>
        <v>Do you conform with a specific industry standard security framework (e.g., NIST Cybersecurity Framework, CIS Controls, ISO 27001, etc.)?</v>
      </c>
      <c r="C25" s="27" t="s">
        <v>40</v>
      </c>
      <c r="D25" s="41" t="s">
        <v>1664</v>
      </c>
      <c r="E25" s="174" t="str">
        <f>IF($C25="Yes",VLOOKUP($A25,Questions!$A$2:$X$333,17,0)&amp;"",IF($C25="No",VLOOKUP($A25,Questions!$A$2:$X$333,16,0)&amp;"",VLOOKUP($A25,Questions!$A$2:$X$333,15,0)&amp;""))</f>
        <v>Provide documentation on how your organization conforms to your chosen framework and indicate current certification levels, where appropriate.</v>
      </c>
      <c r="F25" s="208" t="str">
        <f>VLOOKUP($A25,'Institution Evaluation'!$A$56:$F$346,6,0)&amp;""</f>
        <v/>
      </c>
      <c r="I25" s="42"/>
      <c r="J25" s="42"/>
    </row>
    <row r="26" spans="1:10" s="1" customFormat="1" ht="52.5" customHeight="1" x14ac:dyDescent="0.25">
      <c r="A26" s="25" t="s">
        <v>84</v>
      </c>
      <c r="B26" s="24" t="str">
        <f>VLOOKUP($A26,Questions!$A$2:$X$333,2,0)</f>
        <v>Can you provide overall system and/or application architecture diagrams, including a full description of the data flow for all components of the system?</v>
      </c>
      <c r="C26" s="27" t="s">
        <v>40</v>
      </c>
      <c r="D26" s="41" t="s">
        <v>1665</v>
      </c>
      <c r="E26" s="174" t="str">
        <f>IF($C26="Yes",VLOOKUP($A26,Questions!$A$2:$X$333,17,0)&amp;"",IF($C26="No",VLOOKUP($A26,Questions!$A$2:$X$333,16,0)&amp;"",VLOOKUP($A26,Questions!$A$2:$X$333,15,0)&amp;""))</f>
        <v>Provide your diagrams (or a valid link to it) upon submission.</v>
      </c>
      <c r="F26" s="208" t="str">
        <f>VLOOKUP($A26,'Institution Evaluation'!$A$56:$F$346,6,0)&amp;""</f>
        <v/>
      </c>
      <c r="I26" s="42"/>
      <c r="J26" s="42"/>
    </row>
    <row r="27" spans="1:10" s="1" customFormat="1" ht="55.5" customHeight="1" x14ac:dyDescent="0.25">
      <c r="A27" s="25" t="s">
        <v>88</v>
      </c>
      <c r="B27" s="24" t="str">
        <f>VLOOKUP($A27,Questions!$A$2:$X$333,2,0)</f>
        <v>Does your organization have a data privacy policy?</v>
      </c>
      <c r="C27" s="27" t="s">
        <v>40</v>
      </c>
      <c r="D27" s="41" t="s">
        <v>1666</v>
      </c>
      <c r="E27" s="174" t="str">
        <f>IF($C27="Yes",VLOOKUP($A27,Questions!$A$2:$X$333,17,0)&amp;"",IF($C27="No",VLOOKUP($A27,Questions!$A$2:$X$333,16,0)&amp;"",VLOOKUP($A27,Questions!$A$2:$X$333,15,0)&amp;""))</f>
        <v>Provide your data privacy document (or a valid link to it) upon submission.</v>
      </c>
      <c r="F27" s="208" t="str">
        <f>VLOOKUP($A27,'Institution Evaluation'!$A$56:$F$346,6,0)&amp;""</f>
        <v/>
      </c>
      <c r="I27" s="42"/>
      <c r="J27" s="42"/>
    </row>
    <row r="28" spans="1:10" s="1" customFormat="1" ht="38.25" customHeight="1" thickBot="1" x14ac:dyDescent="0.3">
      <c r="A28" s="25" t="s">
        <v>92</v>
      </c>
      <c r="B28" s="24" t="str">
        <f>VLOOKUP($A28,Questions!$A$2:$X$333,2,0)</f>
        <v>Do you have a documented, and currently implemented, employee onboarding and offboarding policy?</v>
      </c>
      <c r="C28" s="27" t="s">
        <v>40</v>
      </c>
      <c r="D28" s="41" t="s">
        <v>1667</v>
      </c>
      <c r="E28" s="174" t="str">
        <f>IF($C28="Yes",VLOOKUP($A28,Questions!$A$2:$X$333,17,0)&amp;"",IF($C28="No",VLOOKUP($A28,Questions!$A$2:$X$333,16,0)&amp;"",VLOOKUP($A28,Questions!$A$2:$X$333,15,0)&amp;""))</f>
        <v>Provide a reference to your employee onboarding and offboarding policy and supporting documentation or submit it along with this fully populated HECVAT.</v>
      </c>
      <c r="F28" s="208" t="str">
        <f>VLOOKUP($A28,'Institution Evaluation'!$A$56:$F$346,6,0)&amp;""</f>
        <v/>
      </c>
      <c r="G28" s="255" t="s">
        <v>1531</v>
      </c>
      <c r="I28" s="42"/>
      <c r="J28" s="42"/>
    </row>
    <row r="29" spans="1:10" s="1" customFormat="1" ht="37.4" customHeight="1" thickBot="1" x14ac:dyDescent="0.3">
      <c r="A29" s="70" t="str">
        <f>VLOOKUP(LEFT($A30,4),'Auto Responses'!$N$4:$O$38,2,0)&amp;""</f>
        <v xml:space="preserve"> Assessment of Third Parties</v>
      </c>
      <c r="B29" s="29"/>
      <c r="C29" s="19" t="s">
        <v>1583</v>
      </c>
      <c r="D29" s="19" t="s">
        <v>72</v>
      </c>
      <c r="E29" s="38" t="s">
        <v>904</v>
      </c>
      <c r="F29" s="194" t="s">
        <v>905</v>
      </c>
      <c r="I29" s="42"/>
      <c r="J29" s="42"/>
    </row>
    <row r="30" spans="1:10" s="1" customFormat="1" ht="46.5" customHeight="1" x14ac:dyDescent="0.25">
      <c r="A30" s="25" t="s">
        <v>130</v>
      </c>
      <c r="B30" s="24" t="str">
        <f>VLOOKUP($A30,Questions!$A$2:$X$333,2,0)</f>
        <v>Do you perform security assessments of third-party companies with which you share data (e.g., hosting providers, cloud services, PaaS, IaaS, SaaS)?*</v>
      </c>
      <c r="C30" s="27" t="s">
        <v>40</v>
      </c>
      <c r="D30" s="340" t="s">
        <v>1668</v>
      </c>
      <c r="E30" s="174" t="str">
        <f>IF($C30="Yes",VLOOKUP($A30,Questions!$A$2:$X$333,17,0)&amp;"",IF($C30="No",VLOOKUP($A30,Questions!$A$2:$X$333,16,0)&amp;"",VLOOKUP($A30,Questions!$A$2:$X$333,15,0)&amp;""))</f>
        <v>Provide a summary of your practices that assures that the third party will be subject to the appropriate standards regarding security, service recoverability, and confidentiality.</v>
      </c>
      <c r="F30" s="208" t="str">
        <f>VLOOKUP($A30,'Institution Evaluation'!$A$56:$F$346,6,0)&amp;""</f>
        <v/>
      </c>
      <c r="I30" s="42"/>
      <c r="J30" s="42"/>
    </row>
    <row r="31" spans="1:10" s="1" customFormat="1" ht="61.5" customHeight="1" x14ac:dyDescent="0.25">
      <c r="A31" s="25" t="s">
        <v>134</v>
      </c>
      <c r="B31" s="24" t="str">
        <f>VLOOKUP($A31,Questions!$A$2:$X$333,2,0)</f>
        <v>Do you have contractual language in place with third parties governing access to institutional data?*</v>
      </c>
      <c r="C31" s="27" t="s">
        <v>40</v>
      </c>
      <c r="D31" s="340" t="s">
        <v>1669</v>
      </c>
      <c r="E31" s="174" t="str">
        <f>IF($C31="Yes",VLOOKUP($A31,Questions!$A$2:$X$333,17,0)&amp;"",IF($C31="No",VLOOKUP($A31,Questions!$A$2:$X$333,16,0)&amp;"",VLOOKUP($A31,Questions!$A$2:$X$333,15,0)&amp;""))</f>
        <v>List each third party and why institutional data is shared with them. Format example: [Third Party Name] - Reason</v>
      </c>
      <c r="F31" s="208" t="str">
        <f>VLOOKUP($A31,'Institution Evaluation'!$A$56:$F$346,6,0)&amp;""</f>
        <v/>
      </c>
      <c r="I31" s="42"/>
      <c r="J31" s="42"/>
    </row>
    <row r="32" spans="1:10" s="1" customFormat="1" ht="50.25" customHeight="1" x14ac:dyDescent="0.25">
      <c r="A32" s="25" t="s">
        <v>137</v>
      </c>
      <c r="B32" s="24" t="str">
        <f>VLOOKUP($A32,Questions!$A$2:$X$333,2,0)</f>
        <v>Do the contracts in place with these third parties address liability in the event of a data breach?*</v>
      </c>
      <c r="C32" s="27" t="s">
        <v>40</v>
      </c>
      <c r="D32" s="340"/>
      <c r="E32" s="174" t="str">
        <f>IF($C32="Yes",VLOOKUP($A32,Questions!$A$2:$X$333,17,0)&amp;"",IF($C32="No",VLOOKUP($A32,Questions!$A$2:$X$333,16,0)&amp;"",VLOOKUP($A32,Questions!$A$2:$X$333,15,0)&amp;""))</f>
        <v/>
      </c>
      <c r="F32" s="208" t="str">
        <f>VLOOKUP($A32,'Institution Evaluation'!$A$56:$F$346,6,0)&amp;""</f>
        <v/>
      </c>
      <c r="I32" s="42"/>
      <c r="J32" s="42"/>
    </row>
    <row r="33" spans="1:10" s="1" customFormat="1" ht="62.25" customHeight="1" x14ac:dyDescent="0.25">
      <c r="A33" s="25" t="s">
        <v>138</v>
      </c>
      <c r="B33" s="24" t="str">
        <f>VLOOKUP($A33,Questions!$A$2:$X$333,2,0)</f>
        <v>Do you have an implemented third-party management strategy?*</v>
      </c>
      <c r="C33" s="27" t="s">
        <v>40</v>
      </c>
      <c r="D33" s="340" t="s">
        <v>1668</v>
      </c>
      <c r="E33" s="174" t="str">
        <f>IF($C33="Yes",VLOOKUP($A33,Questions!$A$2:$X$333,17,0)&amp;"",IF($C33="No",VLOOKUP($A33,Questions!$A$2:$X$333,16,0)&amp;"",VLOOKUP($A33,Questions!$A$2:$X$333,15,0)&amp;""))</f>
        <v>Provide additional information that may help analysts better understand your environment and how it relates to third-party solutions.</v>
      </c>
      <c r="F33" s="208" t="str">
        <f>VLOOKUP($A33,'Institution Evaluation'!$A$56:$F$346,6,0)&amp;""</f>
        <v/>
      </c>
      <c r="I33" s="42"/>
      <c r="J33" s="42"/>
    </row>
    <row r="34" spans="1:10" s="1" customFormat="1" ht="53.25" customHeight="1" thickBot="1" x14ac:dyDescent="0.3">
      <c r="A34" s="25" t="s">
        <v>141</v>
      </c>
      <c r="B34" s="24" t="str">
        <f>VLOOKUP($A34,Questions!$A$2:$X$333,2,0)</f>
        <v>Do you have a process and implemented procedures for managing your hardware supply chain (e.g., telecommunications equipment, export licensing, computing devices)?</v>
      </c>
      <c r="C34" s="27" t="s">
        <v>40</v>
      </c>
      <c r="D34" s="340" t="s">
        <v>1670</v>
      </c>
      <c r="E34" s="174" t="str">
        <f>IF($C34="Yes",VLOOKUP($A34,Questions!$A$2:$X$333,17,0)&amp;"",IF($C34="No",VLOOKUP($A34,Questions!$A$2:$X$333,16,0)&amp;"",VLOOKUP($A34,Questions!$A$2:$X$333,15,0)&amp;""))</f>
        <v>State what countries and/or regions this process is compliant with.</v>
      </c>
      <c r="F34" s="208" t="str">
        <f>VLOOKUP($A34,'Institution Evaluation'!$A$56:$F$346,6,0)&amp;""</f>
        <v/>
      </c>
      <c r="G34" s="255" t="s">
        <v>1531</v>
      </c>
      <c r="I34" s="42"/>
      <c r="J34" s="42"/>
    </row>
    <row r="35" spans="1:10" s="1" customFormat="1" ht="37.4" customHeight="1" thickBot="1" x14ac:dyDescent="0.3">
      <c r="A35" s="70" t="str">
        <f>VLOOKUP(LEFT($A36,4),'Auto Responses'!$N$4:$O$38,2,0)&amp;""</f>
        <v xml:space="preserve"> Change Management</v>
      </c>
      <c r="B35" s="29"/>
      <c r="C35" s="19" t="s">
        <v>1583</v>
      </c>
      <c r="D35" s="19" t="s">
        <v>72</v>
      </c>
      <c r="E35" s="38" t="s">
        <v>904</v>
      </c>
      <c r="F35" s="194" t="s">
        <v>905</v>
      </c>
      <c r="I35" s="42"/>
      <c r="J35" s="42"/>
    </row>
    <row r="36" spans="1:10" s="1" customFormat="1" ht="38.25" customHeight="1" x14ac:dyDescent="0.25">
      <c r="A36" s="25" t="s">
        <v>280</v>
      </c>
      <c r="B36" s="24" t="str">
        <f>VLOOKUP($A36,Questions!$A$2:$X$333,2,0)</f>
        <v>Will the institution be notified of major changes to your environment that could impact the institution's security posture?*</v>
      </c>
      <c r="C36" s="27" t="s">
        <v>40</v>
      </c>
      <c r="D36" s="340" t="s">
        <v>1671</v>
      </c>
      <c r="E36" s="174" t="str">
        <f>IF($C36="Yes",VLOOKUP($A36,Questions!$A$2:$X$333,17,0)&amp;"",IF($C36="No",VLOOKUP($A36,Questions!$A$2:$X$333,16,0)&amp;"",VLOOKUP($A36,Questions!$A$2:$X$333,15,0)&amp;""))</f>
        <v>State how and when the institution will be notified of major changes to your environment.</v>
      </c>
      <c r="F36" s="208" t="str">
        <f>VLOOKUP($A36,'Institution Evaluation'!$A$56:$F$346,6,0)&amp;""</f>
        <v/>
      </c>
      <c r="I36" s="42"/>
      <c r="J36" s="42"/>
    </row>
    <row r="37" spans="1:10" s="1" customFormat="1" ht="54" customHeight="1" x14ac:dyDescent="0.25">
      <c r="A37" s="25" t="s">
        <v>285</v>
      </c>
      <c r="B37" s="24" t="str">
        <f>VLOOKUP($A37,Questions!$A$2:$X$333,2,0)</f>
        <v>Does the system support client customizations from one release to another?*</v>
      </c>
      <c r="C37" s="27" t="s">
        <v>40</v>
      </c>
      <c r="D37" s="340" t="s">
        <v>1672</v>
      </c>
      <c r="E37" s="174" t="str">
        <f>IF($C37="Yes",VLOOKUP($A37,Questions!$A$2:$X$333,17,0)&amp;"",IF($C37="No",VLOOKUP($A37,Questions!$A$2:$X$333,16,0)&amp;"",IF($C37="N/A",VLOOKUP($A37,Questions!$A$2:$X$333,18,0)&amp;"",VLOOKUP($A37,Questions!$A$2:$X$333,15,0)&amp;"")))</f>
        <v>Describe or provide reference to your solution support strategy in regard to maintaining client customizations from one release to another.</v>
      </c>
      <c r="F37" s="208" t="str">
        <f>VLOOKUP($A37,'Institution Evaluation'!$A$56:$F$346,6,0)&amp;""</f>
        <v/>
      </c>
      <c r="I37" s="42"/>
      <c r="J37" s="42"/>
    </row>
    <row r="38" spans="1:10" s="1" customFormat="1" ht="65.25" customHeight="1" x14ac:dyDescent="0.25">
      <c r="A38" s="25" t="s">
        <v>286</v>
      </c>
      <c r="B38" s="24" t="str">
        <f>VLOOKUP($A38,Questions!$A$2:$X$333,2,0)</f>
        <v>Do you have an implemented system configuration management process (e.g.,secure "gold" images, etc.)?*</v>
      </c>
      <c r="C38" s="27" t="s">
        <v>40</v>
      </c>
      <c r="D38" s="340" t="s">
        <v>1673</v>
      </c>
      <c r="E38" s="174" t="str">
        <f>IF($C38="Yes",VLOOKUP($A38,Questions!$A$2:$X$333,17,0)&amp;"",IF($C38="No",VLOOKUP($A38,Questions!$A$2:$X$333,16,0)&amp;"",IF($C38="N/A",VLOOKUP($A38,Questions!$A$2:$X$333,18,0)&amp;"",VLOOKUP($A38,Questions!$A$2:$X$333,15,0)&amp;"")))</f>
        <v>Summarize your implemented system configuration management precess.</v>
      </c>
      <c r="F38" s="208" t="str">
        <f>VLOOKUP($A38,'Institution Evaluation'!$A$56:$F$346,6,0)&amp;""</f>
        <v/>
      </c>
      <c r="I38" s="42"/>
      <c r="J38" s="42"/>
    </row>
    <row r="39" spans="1:10" s="1" customFormat="1" ht="38.25" customHeight="1" x14ac:dyDescent="0.25">
      <c r="A39" s="25" t="s">
        <v>289</v>
      </c>
      <c r="B39" s="24" t="str">
        <f>VLOOKUP($A39,Questions!$A$2:$X$333,2,0)</f>
        <v>Do you have a documented change management process?</v>
      </c>
      <c r="C39" s="27" t="s">
        <v>40</v>
      </c>
      <c r="D39" s="340" t="s">
        <v>1674</v>
      </c>
      <c r="E39" s="174" t="str">
        <f>IF($C39="Yes",VLOOKUP($A39,Questions!$A$2:$X$333,17,0)&amp;"",IF($C39="No",VLOOKUP($A39,Questions!$A$2:$X$333,16,0)&amp;"",VLOOKUP($A39,Questions!$A$2:$X$333,15,0)&amp;""))</f>
        <v>Summarize your current change management process.</v>
      </c>
      <c r="F39" s="208" t="str">
        <f>VLOOKUP($A39,'Institution Evaluation'!$A$56:$F$346,6,0)&amp;""</f>
        <v/>
      </c>
      <c r="I39" s="42"/>
      <c r="J39" s="42"/>
    </row>
    <row r="40" spans="1:10" s="1" customFormat="1" ht="53.25" customHeight="1" x14ac:dyDescent="0.25">
      <c r="A40" s="25" t="s">
        <v>293</v>
      </c>
      <c r="B40" s="24" t="str">
        <f>VLOOKUP($A40,Questions!$A$2:$X$333,2,0)</f>
        <v>Does your change management process minimally include authorization, impact analysis, testing, and validation before moving changes to production?</v>
      </c>
      <c r="C40" s="27" t="s">
        <v>40</v>
      </c>
      <c r="D40" s="340" t="s">
        <v>1675</v>
      </c>
      <c r="E40" s="174" t="str">
        <f>IF($C40="Yes",VLOOKUP($A40,Questions!$A$2:$X$333,17,0)&amp;"",IF($C40="No",VLOOKUP($A40,Questions!$A$2:$X$333,16,0)&amp;"",VLOOKUP($A40,Questions!$A$2:$X$333,15,0)&amp;""))</f>
        <v>Indicate all procedures that are implemented in your change management process. (a) An impact analysis of the upgrade is performed. (b) The change is appropriately authorized. (c) Changes are made first in a test environment. (d) The ability to implement the upgrades/changes in the production environment is limited to appropriate IT personnel.</v>
      </c>
      <c r="F40" s="208" t="str">
        <f>VLOOKUP($A40,'Institution Evaluation'!$A$56:$F$346,6,0)&amp;""</f>
        <v/>
      </c>
      <c r="I40" s="42"/>
      <c r="J40" s="42"/>
    </row>
    <row r="41" spans="1:10" s="1" customFormat="1" ht="54.75" customHeight="1" x14ac:dyDescent="0.25">
      <c r="A41" s="25" t="s">
        <v>297</v>
      </c>
      <c r="B41" s="24" t="str">
        <f>VLOOKUP($A41,Questions!$A$2:$X$333,2,0)</f>
        <v>Does your change management process verify that all required third-party libraries and dependencies are still supported with each major change?</v>
      </c>
      <c r="C41" s="27" t="s">
        <v>40</v>
      </c>
      <c r="D41" s="340" t="s">
        <v>1676</v>
      </c>
      <c r="E41" s="174" t="str">
        <f>IF($C41="Yes",VLOOKUP($A41,Questions!$A$2:$X$333,17,0)&amp;"",IF($C41="No",VLOOKUP($A41,Questions!$A$2:$X$333,16,0)&amp;"",VLOOKUP($A41,Questions!$A$2:$X$333,15,0)&amp;""))</f>
        <v>Please describe your program to track these dependancies.</v>
      </c>
      <c r="F41" s="208" t="str">
        <f>VLOOKUP($A41,'Institution Evaluation'!$A$56:$F$346,6,0)&amp;""</f>
        <v/>
      </c>
      <c r="I41" s="42"/>
      <c r="J41" s="42"/>
    </row>
    <row r="42" spans="1:10" s="1" customFormat="1" ht="53.25" customHeight="1" x14ac:dyDescent="0.25">
      <c r="A42" s="25" t="s">
        <v>301</v>
      </c>
      <c r="B42" s="24" t="str">
        <f>VLOOKUP($A42,Questions!$A$2:$X$333,2,0)</f>
        <v>Do you have policy and procedure, currently implemented, managing how critical patches are applied to all systems and applications?</v>
      </c>
      <c r="C42" s="27" t="s">
        <v>40</v>
      </c>
      <c r="D42" s="340" t="s">
        <v>1677</v>
      </c>
      <c r="E42" s="174" t="str">
        <f>IF($C42="Yes",VLOOKUP($A42,Questions!$A$2:$X$333,17,0)&amp;"",IF($C42="No",VLOOKUP($A42,Questions!$A$2:$X$333,16,0)&amp;"",VLOOKUP($A42,Questions!$A$2:$X$333,15,0)&amp;""))</f>
        <v>Summarize the policy and procedure(s) managing how critical patches are applied to systems and applications.</v>
      </c>
      <c r="F42" s="208" t="str">
        <f>VLOOKUP($A42,'Institution Evaluation'!$A$56:$F$346,6,0)&amp;""</f>
        <v/>
      </c>
      <c r="I42" s="42"/>
      <c r="J42" s="42"/>
    </row>
    <row r="43" spans="1:10" s="1" customFormat="1" ht="38.25" customHeight="1" x14ac:dyDescent="0.25">
      <c r="A43" s="25" t="s">
        <v>305</v>
      </c>
      <c r="B43" s="24" t="str">
        <f>VLOOKUP($A43,Questions!$A$2:$X$333,2,0)</f>
        <v>Have you implemented policies and procedures that guide how security risks are mitigated until patches can be applied?</v>
      </c>
      <c r="C43" s="27" t="s">
        <v>40</v>
      </c>
      <c r="D43" s="340" t="s">
        <v>1678</v>
      </c>
      <c r="E43" s="174" t="str">
        <f>IF($C43="Yes",VLOOKUP($A43,Questions!$A$2:$X$333,17,0)&amp;"",IF($C43="No",VLOOKUP($A43,Questions!$A$2:$X$333,16,0)&amp;"",VLOOKUP($A43,Questions!$A$2:$X$333,15,0)&amp;""))</f>
        <v>Summarize the policy and procedure(s) guiding risk mitigation practices before critical patches can be applied.</v>
      </c>
      <c r="F43" s="208" t="str">
        <f>VLOOKUP($A43,'Institution Evaluation'!$A$56:$F$346,6,0)&amp;""</f>
        <v/>
      </c>
      <c r="I43" s="42"/>
      <c r="J43" s="42"/>
    </row>
    <row r="44" spans="1:10" s="1" customFormat="1" ht="52.5" customHeight="1" x14ac:dyDescent="0.25">
      <c r="A44" s="25" t="s">
        <v>308</v>
      </c>
      <c r="B44" s="24" t="str">
        <f>VLOOKUP($A44,Questions!$A$2:$X$333,2,0)</f>
        <v>Do clients have the option to not participate in or postpone an upgrade to a new release?</v>
      </c>
      <c r="C44" s="27" t="s">
        <v>149</v>
      </c>
      <c r="D44" s="340" t="s">
        <v>1679</v>
      </c>
      <c r="E44" s="174" t="str">
        <f>IF($C44="Yes",VLOOKUP($A44,Questions!$A$2:$X$333,17,0)&amp;"",IF($C44="No",VLOOKUP($A44,Questions!$A$2:$X$333,16,0)&amp;"",VLOOKUP($A44,Questions!$A$2:$X$333,15,0)&amp;""))</f>
        <v>Summarize why clients do not have alternative release options.</v>
      </c>
      <c r="F44" s="208" t="str">
        <f>VLOOKUP($A44,'Institution Evaluation'!$A$56:$F$346,6,0)&amp;""</f>
        <v/>
      </c>
      <c r="I44" s="42"/>
      <c r="J44" s="42"/>
    </row>
    <row r="45" spans="1:10" s="1" customFormat="1" ht="64.5" customHeight="1" x14ac:dyDescent="0.25">
      <c r="A45" s="25" t="s">
        <v>311</v>
      </c>
      <c r="B45" s="24" t="str">
        <f>VLOOKUP($A45,Questions!$A$2:$X$333,2,0)</f>
        <v>Do you have a fully implemented solution support strategy that defines how many concurrent versions you support?</v>
      </c>
      <c r="C45" s="27" t="s">
        <v>40</v>
      </c>
      <c r="D45" s="340" t="s">
        <v>1680</v>
      </c>
      <c r="E45" s="174" t="str">
        <f>IF($C45="Yes",VLOOKUP($A45,Questions!$A$2:$X$333,17,0)&amp;"",IF($C45="No",VLOOKUP($A45,Questions!$A$2:$X$333,16,0)&amp;"",VLOOKUP($A45,Questions!$A$2:$X$333,15,0)&amp;""))</f>
        <v>Describe or provide a reference to your solution support strategy in regard to maintaining software currency (i.e., how many concurrent versions are you willing to run and support?).</v>
      </c>
      <c r="F45" s="208" t="str">
        <f>VLOOKUP($A45,'Institution Evaluation'!$A$56:$F$346,6,0)&amp;""</f>
        <v/>
      </c>
      <c r="I45" s="42"/>
      <c r="J45" s="42"/>
    </row>
    <row r="46" spans="1:10" s="1" customFormat="1" ht="38.25" customHeight="1" x14ac:dyDescent="0.25">
      <c r="A46" s="25" t="s">
        <v>313</v>
      </c>
      <c r="B46" s="24" t="str">
        <f>VLOOKUP($A46,Questions!$A$2:$X$333,2,0)</f>
        <v>Do you have a release schedule for product updates?</v>
      </c>
      <c r="C46" s="27" t="s">
        <v>40</v>
      </c>
      <c r="D46" s="340" t="s">
        <v>1681</v>
      </c>
      <c r="E46" s="174" t="str">
        <f>IF($C46="Yes",VLOOKUP($A46,Questions!$A$2:$X$333,17,0)&amp;"",IF($C46="No",VLOOKUP($A46,Questions!$A$2:$X$333,16,0)&amp;"",VLOOKUP($A46,Questions!$A$2:$X$333,15,0)&amp;""))</f>
        <v>Provide a reference to this solution's release schedule.</v>
      </c>
      <c r="F46" s="208" t="str">
        <f>VLOOKUP($A46,'Institution Evaluation'!$A$56:$F$346,6,0)&amp;""</f>
        <v/>
      </c>
      <c r="I46" s="42"/>
      <c r="J46" s="42"/>
    </row>
    <row r="47" spans="1:10" s="1" customFormat="1" ht="54" customHeight="1" x14ac:dyDescent="0.25">
      <c r="A47" s="25" t="s">
        <v>317</v>
      </c>
      <c r="B47" s="24" t="str">
        <f>VLOOKUP($A47,Questions!$A$2:$X$333,2,0)</f>
        <v>Do you have a technology roadmap, for at least the next two years, for enhancements and bug fixes for the solution being assessed?</v>
      </c>
      <c r="C47" s="27" t="s">
        <v>40</v>
      </c>
      <c r="D47" s="340" t="s">
        <v>1682</v>
      </c>
      <c r="E47" s="174" t="str">
        <f>IF($C47="Yes",VLOOKUP($A47,Questions!$A$2:$X$333,17,0)&amp;"",IF($C47="No",VLOOKUP($A47,Questions!$A$2:$X$333,16,0)&amp;"",VLOOKUP($A47,Questions!$A$2:$X$333,15,0)&amp;""))</f>
        <v>Provide a reference to your technology roadmap.</v>
      </c>
      <c r="F47" s="208" t="str">
        <f>VLOOKUP($A47,'Institution Evaluation'!$A$56:$F$346,6,0)&amp;""</f>
        <v/>
      </c>
      <c r="I47" s="42"/>
      <c r="J47" s="42"/>
    </row>
    <row r="48" spans="1:10" s="1" customFormat="1" ht="38.25" customHeight="1" x14ac:dyDescent="0.25">
      <c r="A48" s="25" t="s">
        <v>320</v>
      </c>
      <c r="B48" s="24" t="str">
        <f>VLOOKUP($A48,Questions!$A$2:$X$333,2,0)</f>
        <v>Can solution updates be completed without institutional involvement (i.e., technically or organizationally)?</v>
      </c>
      <c r="C48" s="27" t="s">
        <v>40</v>
      </c>
      <c r="D48" s="340" t="s">
        <v>1683</v>
      </c>
      <c r="E48" s="174" t="str">
        <f>IF($C48="Yes",VLOOKUP($A48,Questions!$A$2:$X$333,17,0)&amp;"",IF($C48="No",VLOOKUP($A48,Questions!$A$2:$X$333,16,0)&amp;"",VLOOKUP($A48,Questions!$A$2:$X$333,15,0)&amp;""))</f>
        <v/>
      </c>
      <c r="F48" s="208" t="str">
        <f>VLOOKUP($A48,'Institution Evaluation'!$A$56:$F$346,6,0)&amp;""</f>
        <v/>
      </c>
      <c r="I48" s="42"/>
      <c r="J48" s="42"/>
    </row>
    <row r="49" spans="1:10" s="1" customFormat="1" ht="38.25" customHeight="1" x14ac:dyDescent="0.25">
      <c r="A49" s="25" t="s">
        <v>325</v>
      </c>
      <c r="B49" s="24" t="str">
        <f>VLOOKUP($A49,Questions!$A$2:$X$333,2,0)</f>
        <v>Are upgrades or system changes installed during off-peak hours or in a manner that does not impact the customer?</v>
      </c>
      <c r="C49" s="27" t="s">
        <v>40</v>
      </c>
      <c r="D49" s="340" t="s">
        <v>1684</v>
      </c>
      <c r="E49" s="174" t="str">
        <f>IF($C49="Yes",VLOOKUP($A49,Questions!$A$2:$X$333,17,0)&amp;"",IF($C49="No",VLOOKUP($A49,Questions!$A$2:$X$333,16,0)&amp;"",VLOOKUP($A49,Questions!$A$2:$X$333,15,0)&amp;""))</f>
        <v>Define current off-peak hours, including time zones as necessary.</v>
      </c>
      <c r="F49" s="208" t="str">
        <f>VLOOKUP($A49,'Institution Evaluation'!$A$56:$F$346,6,0)&amp;""</f>
        <v/>
      </c>
      <c r="I49" s="42"/>
      <c r="J49" s="42"/>
    </row>
    <row r="50" spans="1:10" s="1" customFormat="1" ht="38.25" customHeight="1" x14ac:dyDescent="0.25">
      <c r="A50" s="25" t="s">
        <v>329</v>
      </c>
      <c r="B50" s="24" t="str">
        <f>VLOOKUP($A50,Questions!$A$2:$X$333,2,0)</f>
        <v>Do procedures exist to provide that emergency changes are documented and authorized (including after-the-fact approval)?</v>
      </c>
      <c r="C50" s="27" t="s">
        <v>40</v>
      </c>
      <c r="D50" s="340" t="s">
        <v>1685</v>
      </c>
      <c r="E50" s="174" t="str">
        <f>IF($C50="Yes",VLOOKUP($A50,Questions!$A$2:$X$333,17,0)&amp;"",IF($C50="No",VLOOKUP($A50,Questions!$A$2:$X$333,16,0)&amp;"",VLOOKUP($A50,Questions!$A$2:$X$333,15,0)&amp;""))</f>
        <v>Summarize implemented procedures ensuring that emergency changes are documented and authorized.</v>
      </c>
      <c r="F50" s="208" t="str">
        <f>VLOOKUP($A50,'Institution Evaluation'!$A$56:$F$346,6,0)&amp;""</f>
        <v/>
      </c>
      <c r="I50" s="42"/>
      <c r="J50" s="42"/>
    </row>
    <row r="51" spans="1:10" s="1" customFormat="1" ht="48" customHeight="1" thickBot="1" x14ac:dyDescent="0.3">
      <c r="A51" s="25" t="s">
        <v>332</v>
      </c>
      <c r="B51" s="24" t="str">
        <f>VLOOKUP($A51,Questions!$A$2:$X$333,2,0)</f>
        <v>Do you have a systems management and configuration strategy that encompasses servers, appliances, cloud services, applications, and mobile devices (company and employee owned)?</v>
      </c>
      <c r="C51" s="27" t="s">
        <v>40</v>
      </c>
      <c r="D51" s="340" t="s">
        <v>1686</v>
      </c>
      <c r="E51" s="174" t="str">
        <f>IF($C51="Yes",VLOOKUP($A51,Questions!$A$2:$X$333,17,0)&amp;"",IF($C51="No",VLOOKUP($A51,Questions!$A$2:$X$333,16,0)&amp;"",VLOOKUP($A51,Questions!$A$2:$X$333,15,0)&amp;""))</f>
        <v>Summarize your systems management and configuration strategy.</v>
      </c>
      <c r="F51" s="208" t="str">
        <f>VLOOKUP($A51,'Institution Evaluation'!$A$56:$F$346,6,0)&amp;""</f>
        <v/>
      </c>
      <c r="G51" s="255" t="s">
        <v>1531</v>
      </c>
      <c r="I51" s="42"/>
      <c r="J51" s="42"/>
    </row>
    <row r="52" spans="1:10" s="1" customFormat="1" ht="37.4" customHeight="1" thickBot="1" x14ac:dyDescent="0.3">
      <c r="A52" s="70" t="str">
        <f>VLOOKUP(LEFT($A53,4),'Auto Responses'!$N$4:$O$38,2,0)&amp;""</f>
        <v xml:space="preserve"> Policies, Processes, and Procedures</v>
      </c>
      <c r="B52" s="29"/>
      <c r="C52" s="19" t="s">
        <v>1583</v>
      </c>
      <c r="D52" s="19" t="s">
        <v>72</v>
      </c>
      <c r="E52" s="38" t="s">
        <v>904</v>
      </c>
      <c r="F52" s="194" t="s">
        <v>905</v>
      </c>
      <c r="I52" s="42"/>
      <c r="J52" s="42"/>
    </row>
    <row r="53" spans="1:10" s="1" customFormat="1" ht="38.25" customHeight="1" x14ac:dyDescent="0.25">
      <c r="A53" s="25" t="s">
        <v>517</v>
      </c>
      <c r="B53" s="24" t="str">
        <f>VLOOKUP($A53,Questions!$A$2:$X$333,2,0)</f>
        <v>Do you have a documented patch management process?*</v>
      </c>
      <c r="C53" s="27" t="s">
        <v>40</v>
      </c>
      <c r="D53" s="340" t="s">
        <v>1687</v>
      </c>
      <c r="E53" s="174" t="str">
        <f>IF($C53="Yes",VLOOKUP($A53,Questions!$A$2:$X$333,17,0)&amp;"",IF($C53="No",VLOOKUP($A53,Questions!$A$2:$X$333,16,0)&amp;"",VLOOKUP($A53,Questions!$A$2:$X$333,15,0)&amp;""))</f>
        <v/>
      </c>
      <c r="F53" s="208" t="str">
        <f>VLOOKUP($A53,'Institution Evaluation'!$A$56:$F$346,6,0)&amp;""</f>
        <v/>
      </c>
      <c r="I53" s="42"/>
      <c r="J53" s="42"/>
    </row>
    <row r="54" spans="1:10" s="1" customFormat="1" ht="56.25" customHeight="1" x14ac:dyDescent="0.25">
      <c r="A54" s="25" t="s">
        <v>518</v>
      </c>
      <c r="B54" s="24" t="str">
        <f>VLOOKUP($A54,Questions!$A$2:$X$333,2,0)</f>
        <v>Can your organization comply with institutional policies on privacy and data protection with regard to users of institutional systems, if required?*</v>
      </c>
      <c r="C54" s="27" t="s">
        <v>40</v>
      </c>
      <c r="D54" s="340" t="s">
        <v>1688</v>
      </c>
      <c r="E54" s="174" t="str">
        <f>IF($C54="Yes",VLOOKUP($A54,Questions!$A$2:$X$333,17,0)&amp;"",IF($C54="No",VLOOKUP($A54,Questions!$A$2:$X$333,16,0)&amp;"",VLOOKUP($A54,Questions!$A$2:$X$333,15,0)&amp;""))</f>
        <v>State that you have reviewed the institution's IT policies with regards to user privacy and data protection.</v>
      </c>
      <c r="F54" s="208" t="str">
        <f>VLOOKUP($A54,'Institution Evaluation'!$A$56:$F$346,6,0)&amp;""</f>
        <v/>
      </c>
      <c r="I54" s="42"/>
      <c r="J54" s="42"/>
    </row>
    <row r="55" spans="1:10" s="1" customFormat="1" ht="38.25" customHeight="1" x14ac:dyDescent="0.25">
      <c r="A55" s="25" t="s">
        <v>520</v>
      </c>
      <c r="B55" s="24" t="str">
        <f>VLOOKUP($A55,Questions!$A$2:$X$333,2,0)</f>
        <v>Is your company subject to the institution's geographic region's laws and regulations?*</v>
      </c>
      <c r="C55" s="27" t="s">
        <v>40</v>
      </c>
      <c r="D55" s="340" t="s">
        <v>1689</v>
      </c>
      <c r="E55" s="174" t="str">
        <f>IF($C55="Yes",VLOOKUP($A55,Questions!$A$2:$X$333,17,0)&amp;"",IF($C55="No",VLOOKUP($A55,Questions!$A$2:$X$333,16,0)&amp;"",VLOOKUP($A55,Questions!$A$2:$X$333,15,0)&amp;""))</f>
        <v/>
      </c>
      <c r="F55" s="208" t="str">
        <f>VLOOKUP($A55,'Institution Evaluation'!$A$56:$F$346,6,0)&amp;""</f>
        <v/>
      </c>
      <c r="I55" s="42"/>
      <c r="J55" s="42"/>
    </row>
    <row r="56" spans="1:10" s="1" customFormat="1" ht="38.25" customHeight="1" x14ac:dyDescent="0.25">
      <c r="A56" s="25" t="s">
        <v>524</v>
      </c>
      <c r="B56" s="24" t="str">
        <f>VLOOKUP($A56,Questions!$A$2:$X$333,2,0)</f>
        <v>Can you accommodate encryption requirements using open standards?</v>
      </c>
      <c r="C56" s="27" t="s">
        <v>40</v>
      </c>
      <c r="D56" s="340" t="s">
        <v>1690</v>
      </c>
      <c r="E56" s="174" t="str">
        <f>IF($C56="Yes",VLOOKUP($A56,Questions!$A$2:$X$333,17,0)&amp;"",IF($C56="No",VLOOKUP($A56,Questions!$A$2:$X$333,16,0)&amp;"",VLOOKUP($A56,Questions!$A$2:$X$333,15,0)&amp;""))</f>
        <v/>
      </c>
      <c r="F56" s="208" t="str">
        <f>VLOOKUP($A56,'Institution Evaluation'!$A$56:$F$346,6,0)&amp;""</f>
        <v/>
      </c>
      <c r="I56" s="42"/>
      <c r="J56" s="42"/>
    </row>
    <row r="57" spans="1:10" s="1" customFormat="1" ht="36" customHeight="1" x14ac:dyDescent="0.25">
      <c r="A57" s="25" t="s">
        <v>528</v>
      </c>
      <c r="B57" s="24" t="str">
        <f>VLOOKUP($A57,Questions!$A$2:$X$333,2,0)</f>
        <v>Do you have a documented systems development life cycle (SDLC)?</v>
      </c>
      <c r="C57" s="27" t="s">
        <v>40</v>
      </c>
      <c r="D57" s="340" t="s">
        <v>1691</v>
      </c>
      <c r="E57" s="174" t="str">
        <f>IF($C57="Yes",VLOOKUP($A57,Questions!$A$2:$X$333,17,0)&amp;"",IF($C57="No",VLOOKUP($A57,Questions!$A$2:$X$333,16,0)&amp;"",VLOOKUP($A57,Questions!$A$2:$X$333,15,0)&amp;""))</f>
        <v>Briefly summarize your SDLC or provide a link or attachment.</v>
      </c>
      <c r="F57" s="208" t="str">
        <f>VLOOKUP($A57,'Institution Evaluation'!$A$56:$F$346,6,0)&amp;""</f>
        <v/>
      </c>
      <c r="I57" s="42"/>
      <c r="J57" s="42"/>
    </row>
    <row r="58" spans="1:10" s="1" customFormat="1" ht="27" x14ac:dyDescent="0.25">
      <c r="A58" s="25" t="s">
        <v>532</v>
      </c>
      <c r="B58" s="24" t="str">
        <f>VLOOKUP($A58,Questions!$A$2:$X$333,2,0)</f>
        <v>Do you perform background screenings or multi-state background checks on all employees prior to their first day of work?</v>
      </c>
      <c r="C58" s="27" t="s">
        <v>40</v>
      </c>
      <c r="D58" s="340" t="s">
        <v>1692</v>
      </c>
      <c r="E58" s="174" t="str">
        <f>IF($C58="Yes",VLOOKUP($A58,Questions!$A$2:$X$333,17,0)&amp;"",IF($C58="No",VLOOKUP($A58,Questions!$A$2:$X$333,16,0)&amp;"",VLOOKUP($A58,Questions!$A$2:$X$333,15,0)&amp;""))</f>
        <v>Summarize your background check practices.</v>
      </c>
      <c r="F58" s="208" t="str">
        <f>VLOOKUP($A58,'Institution Evaluation'!$A$56:$F$346,6,0)&amp;""</f>
        <v/>
      </c>
      <c r="I58" s="42"/>
      <c r="J58" s="42"/>
    </row>
    <row r="59" spans="1:10" s="1" customFormat="1" ht="47.25" customHeight="1" x14ac:dyDescent="0.25">
      <c r="A59" s="25" t="s">
        <v>535</v>
      </c>
      <c r="B59" s="24" t="str">
        <f>VLOOKUP($A59,Questions!$A$2:$X$333,2,0)</f>
        <v>Do you require new employees to fill out agreements and review policies?</v>
      </c>
      <c r="C59" s="27" t="s">
        <v>40</v>
      </c>
      <c r="D59" s="340" t="s">
        <v>1693</v>
      </c>
      <c r="E59" s="174" t="str">
        <f>IF($C59="Yes",VLOOKUP($A59,Questions!$A$2:$X$333,17,0)&amp;"",IF($C59="No",VLOOKUP($A59,Questions!$A$2:$X$333,16,0)&amp;"",VLOOKUP($A59,Questions!$A$2:$X$333,15,0)&amp;""))</f>
        <v>Summarize the required agreements and reviewed policies.</v>
      </c>
      <c r="F59" s="208" t="str">
        <f>VLOOKUP($A59,'Institution Evaluation'!$A$56:$F$346,6,0)&amp;""</f>
        <v/>
      </c>
      <c r="I59" s="42"/>
      <c r="J59" s="42"/>
    </row>
    <row r="60" spans="1:10" s="1" customFormat="1" ht="46.5" customHeight="1" x14ac:dyDescent="0.25">
      <c r="A60" s="25" t="s">
        <v>537</v>
      </c>
      <c r="B60" s="24" t="str">
        <f>VLOOKUP($A60,Questions!$A$2:$X$333,2,0)</f>
        <v>Do you have a documented information security policy?</v>
      </c>
      <c r="C60" s="27" t="s">
        <v>40</v>
      </c>
      <c r="D60" s="340" t="s">
        <v>1694</v>
      </c>
      <c r="E60" s="174" t="str">
        <f>IF($C60="Yes",VLOOKUP($A60,Questions!$A$2:$X$333,17,0)&amp;"",IF($C60="No",VLOOKUP($A60,Questions!$A$2:$X$333,16,0)&amp;"",VLOOKUP($A60,Questions!$A$2:$X$333,15,0)&amp;""))</f>
        <v>Provide a reference to your information security policy or submit documentation with this fully populated HECVAT.</v>
      </c>
      <c r="F60" s="208" t="str">
        <f>VLOOKUP($A60,'Institution Evaluation'!$A$56:$F$346,6,0)&amp;""</f>
        <v/>
      </c>
      <c r="I60" s="42"/>
      <c r="J60" s="42"/>
    </row>
    <row r="61" spans="1:10" s="1" customFormat="1" ht="48" customHeight="1" x14ac:dyDescent="0.25">
      <c r="A61" s="25" t="s">
        <v>541</v>
      </c>
      <c r="B61" s="24" t="str">
        <f>VLOOKUP($A61,Questions!$A$2:$X$333,2,0)</f>
        <v>Are information security principles designed into the product lifecycle?</v>
      </c>
      <c r="C61" s="27" t="s">
        <v>40</v>
      </c>
      <c r="D61" s="340" t="s">
        <v>1695</v>
      </c>
      <c r="E61" s="174" t="str">
        <f>IF($C61="Yes",VLOOKUP($A61,Questions!$A$2:$X$333,17,0)&amp;"",IF($C61="No",VLOOKUP($A61,Questions!$A$2:$X$333,16,0)&amp;"",VLOOKUP($A61,Questions!$A$2:$X$333,15,0)&amp;""))</f>
        <v>Summarize the information security principles designed into the product lifecycle.</v>
      </c>
      <c r="F61" s="208" t="str">
        <f>VLOOKUP($A61,'Institution Evaluation'!$A$56:$F$346,6,0)&amp;""</f>
        <v/>
      </c>
      <c r="I61" s="42"/>
      <c r="J61" s="42"/>
    </row>
    <row r="62" spans="1:10" s="1" customFormat="1" ht="28.5" customHeight="1" x14ac:dyDescent="0.25">
      <c r="A62" s="25" t="s">
        <v>546</v>
      </c>
      <c r="B62" s="24" t="str">
        <f>VLOOKUP($A62,Questions!$A$2:$X$333,2,0)</f>
        <v>Will you comply with applicable breach notification laws?</v>
      </c>
      <c r="C62" s="27" t="s">
        <v>40</v>
      </c>
      <c r="D62" s="340" t="s">
        <v>1696</v>
      </c>
      <c r="E62" s="174" t="str">
        <f>IF($C62="Yes",VLOOKUP($A62,Questions!$A$2:$X$333,17,0)&amp;"",IF($C62="No",VLOOKUP($A62,Questions!$A$2:$X$333,16,0)&amp;"",VLOOKUP($A62,Questions!$A$2:$X$333,15,0)&amp;""))</f>
        <v>State how quickly the institution will be notified of a data breach or security incident.</v>
      </c>
      <c r="F62" s="208" t="str">
        <f>VLOOKUP($A62,'Institution Evaluation'!$A$56:$F$346,6,0)&amp;""</f>
        <v/>
      </c>
      <c r="I62" s="42"/>
      <c r="J62" s="42"/>
    </row>
    <row r="63" spans="1:10" s="1" customFormat="1" ht="28.5" customHeight="1" x14ac:dyDescent="0.25">
      <c r="A63" s="25" t="s">
        <v>550</v>
      </c>
      <c r="B63" s="24" t="str">
        <f>VLOOKUP($A63,Questions!$A$2:$X$333,2,0)</f>
        <v>Do you have an information security awareness program?</v>
      </c>
      <c r="C63" s="27" t="s">
        <v>40</v>
      </c>
      <c r="D63" s="340" t="s">
        <v>1697</v>
      </c>
      <c r="E63" s="174" t="str">
        <f>IF($C63="Yes",VLOOKUP($A63,Questions!$A$2:$X$333,17,0)&amp;"",IF($C63="No",VLOOKUP($A63,Questions!$A$2:$X$333,16,0)&amp;"",VLOOKUP($A63,Questions!$A$2:$X$333,15,0)&amp;""))</f>
        <v>Summarize your information security awareness program.</v>
      </c>
      <c r="F63" s="208" t="str">
        <f>VLOOKUP($A63,'Institution Evaluation'!$A$56:$F$346,6,0)&amp;""</f>
        <v/>
      </c>
      <c r="I63" s="42"/>
      <c r="J63" s="42"/>
    </row>
    <row r="64" spans="1:10" s="1" customFormat="1" ht="28.5" customHeight="1" x14ac:dyDescent="0.25">
      <c r="A64" s="25" t="s">
        <v>555</v>
      </c>
      <c r="B64" s="24" t="str">
        <f>VLOOKUP($A64,Questions!$A$2:$X$333,2,0)</f>
        <v>Is security awareness training mandatory for all employees?</v>
      </c>
      <c r="C64" s="27" t="s">
        <v>40</v>
      </c>
      <c r="D64" s="340" t="s">
        <v>1698</v>
      </c>
      <c r="E64" s="174" t="str">
        <f>IF($C64="Yes",VLOOKUP($A64,Questions!$A$2:$X$333,17,0)&amp;"",IF($C64="No",VLOOKUP($A64,Questions!$A$2:$X$333,16,0)&amp;"",VLOOKUP($A64,Questions!$A$2:$X$333,15,0)&amp;""))</f>
        <v>Summarize your security awareness training content and state how frequently employees are required to undergo security awareness training.</v>
      </c>
      <c r="F64" s="208" t="str">
        <f>VLOOKUP($A64,'Institution Evaluation'!$A$56:$F$346,6,0)&amp;""</f>
        <v/>
      </c>
      <c r="I64" s="42"/>
      <c r="J64" s="42"/>
    </row>
    <row r="65" spans="1:10" s="1" customFormat="1" ht="54" customHeight="1" x14ac:dyDescent="0.25">
      <c r="A65" s="25" t="s">
        <v>559</v>
      </c>
      <c r="B65" s="24" t="str">
        <f>VLOOKUP($A65,Questions!$A$2:$X$333,2,0)</f>
        <v>Do you have process and procedure(s) documented, and currently followed, that require a review and update of the access list(s) for privileged accounts?</v>
      </c>
      <c r="C65" s="27" t="s">
        <v>40</v>
      </c>
      <c r="D65" s="340" t="s">
        <v>1699</v>
      </c>
      <c r="E65" s="174" t="str">
        <f>IF($C65="Yes",VLOOKUP($A65,Questions!$A$2:$X$333,17,0)&amp;"",IF($C65="No",VLOOKUP($A65,Questions!$A$2:$X$333,16,0)&amp;"",VLOOKUP($A65,Questions!$A$2:$X$333,15,0)&amp;""))</f>
        <v>Provide a brief summary and the implement review interval.</v>
      </c>
      <c r="F65" s="208" t="str">
        <f>VLOOKUP($A65,'Institution Evaluation'!$A$56:$F$346,6,0)&amp;""</f>
        <v/>
      </c>
      <c r="I65" s="42"/>
      <c r="J65" s="42"/>
    </row>
    <row r="66" spans="1:10" s="1" customFormat="1" ht="34.5" customHeight="1" x14ac:dyDescent="0.25">
      <c r="A66" s="25" t="s">
        <v>563</v>
      </c>
      <c r="B66" s="24" t="str">
        <f>VLOOKUP($A66,Questions!$A$2:$X$333,2,0)</f>
        <v>Do you have documented, and currently implemented, internal audit processes and procedures?</v>
      </c>
      <c r="C66" s="27" t="s">
        <v>40</v>
      </c>
      <c r="D66" s="340" t="s">
        <v>1700</v>
      </c>
      <c r="E66" s="174" t="str">
        <f>IF($C66="Yes",VLOOKUP($A66,Questions!$A$2:$X$333,17,0)&amp;"",IF($C66="No",VLOOKUP($A66,Questions!$A$2:$X$333,16,0)&amp;"",VLOOKUP($A66,Questions!$A$2:$X$333,15,0)&amp;""))</f>
        <v>Summarize your internal audit processes and procedures.</v>
      </c>
      <c r="F66" s="208" t="str">
        <f>VLOOKUP($A66,'Institution Evaluation'!$A$56:$F$346,6,0)&amp;""</f>
        <v/>
      </c>
      <c r="I66" s="42"/>
      <c r="J66" s="42"/>
    </row>
    <row r="67" spans="1:10" s="1" customFormat="1" ht="39" customHeight="1" x14ac:dyDescent="0.25">
      <c r="A67" s="25" t="s">
        <v>568</v>
      </c>
      <c r="B67" s="24" t="str">
        <f>VLOOKUP($A67,Questions!$A$2:$X$333,2,0)</f>
        <v>Does your organization have physical security controls and policies in place?</v>
      </c>
      <c r="C67" s="27" t="s">
        <v>40</v>
      </c>
      <c r="D67" s="340" t="s">
        <v>1701</v>
      </c>
      <c r="E67" s="174" t="str">
        <f>IF($C67="Yes",VLOOKUP($A67,Questions!$A$2:$X$333,17,0)&amp;"",IF($C67="No",VLOOKUP($A67,Questions!$A$2:$X$333,16,0)&amp;"",IF($C67="N/A",VLOOKUP($A67,Questions!$A$2:$X$333,18,0)&amp;"",VLOOKUP($A67,Questions!$A$2:$X$333,15,0)&amp;"")))</f>
        <v>Provide a copy of your physical security controls and policies along with this document (link or attached).</v>
      </c>
      <c r="F67" s="208" t="str">
        <f>VLOOKUP($A67,'Institution Evaluation'!$A$56:$F$346,6,0)&amp;""</f>
        <v/>
      </c>
      <c r="G67" s="255" t="s">
        <v>1531</v>
      </c>
      <c r="H67" s="42"/>
    </row>
    <row r="68" spans="1:10" s="178" customFormat="1" ht="39" customHeight="1" x14ac:dyDescent="0.25">
      <c r="A68" s="285" t="s">
        <v>1593</v>
      </c>
      <c r="B68" s="271"/>
      <c r="C68" s="272"/>
      <c r="D68" s="341"/>
      <c r="E68" s="274"/>
      <c r="F68" s="275"/>
      <c r="G68" s="276"/>
      <c r="H68" s="179"/>
    </row>
    <row r="69" spans="1:10" s="1" customFormat="1" ht="15" customHeight="1" x14ac:dyDescent="0.25">
      <c r="A69" s="284"/>
      <c r="C69" s="14"/>
      <c r="D69" s="15"/>
      <c r="E69" s="16"/>
      <c r="I69" s="42"/>
      <c r="J69" s="42"/>
    </row>
    <row r="70" spans="1:10" s="1" customFormat="1" ht="15" hidden="1" customHeight="1" x14ac:dyDescent="0.25">
      <c r="A70"/>
      <c r="C70" s="14"/>
      <c r="D70" s="15"/>
      <c r="E70" s="16"/>
      <c r="I70" s="42"/>
      <c r="J70" s="42"/>
    </row>
    <row r="71" spans="1:10" ht="57" hidden="1" customHeight="1" x14ac:dyDescent="0.25">
      <c r="A71" s="25" t="e">
        <f>#REF!</f>
        <v>#REF!</v>
      </c>
    </row>
    <row r="72" spans="1:10" ht="42.75" hidden="1" customHeight="1" x14ac:dyDescent="0.25">
      <c r="A72" s="25" t="e">
        <f>#REF!</f>
        <v>#REF!</v>
      </c>
    </row>
    <row r="73" spans="1:10" ht="15" hidden="1" customHeight="1" x14ac:dyDescent="0.25">
      <c r="A73" s="25" t="e">
        <f>#REF!</f>
        <v>#REF!</v>
      </c>
    </row>
    <row r="74" spans="1:10" ht="15" hidden="1" customHeight="1" x14ac:dyDescent="0.25">
      <c r="A74" s="25" t="e">
        <f>#REF!</f>
        <v>#REF!</v>
      </c>
    </row>
    <row r="75" spans="1:10" ht="15" hidden="1" customHeight="1" x14ac:dyDescent="0.25">
      <c r="A75" s="25" t="e">
        <f>#REF!</f>
        <v>#REF!</v>
      </c>
    </row>
    <row r="76" spans="1:10" ht="15" hidden="1" customHeight="1" x14ac:dyDescent="0.25">
      <c r="A76" s="25" t="e">
        <f>#REF!</f>
        <v>#REF!</v>
      </c>
    </row>
    <row r="77" spans="1:10" ht="15" hidden="1" customHeight="1" x14ac:dyDescent="0.25">
      <c r="A77" s="25" t="e">
        <f>#REF!</f>
        <v>#REF!</v>
      </c>
    </row>
    <row r="78" spans="1:10" ht="15" hidden="1" customHeight="1" x14ac:dyDescent="0.25"/>
    <row r="79" spans="1:10" ht="15" hidden="1" customHeight="1" x14ac:dyDescent="0.25"/>
    <row r="80" spans="1:1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sheetData>
  <phoneticPr fontId="32" type="noConversion"/>
  <dataValidations count="2">
    <dataValidation allowBlank="1" showInputMessage="1" showErrorMessage="1" promptTitle="Warning!" prompt="The HECVAT is built using a number of complex formulas. Editing this cell can break the functionality of the tool. " sqref="C2:F2 C29 A3:A68 C35:D35 C52:D52 C5:F12 D3:F3 B2:B68 D21:D29 C21 E21:F67" xr:uid="{13D91724-4745-4549-9EE6-E1961B3DF999}"/>
    <dataValidation allowBlank="1" showInputMessage="1" showErrorMessage="1" prompt="This answer has been populated from the &quot;START HERE&quot; tab and does not need to be re-entered." sqref="C3 C13:C20" xr:uid="{5903BFA5-5357-4C55-8B96-E1E288DBA5B1}"/>
  </dataValidations>
  <hyperlinks>
    <hyperlink ref="A11" r:id="rId1" display="http://www.educause.edu/HECVAT" xr:uid="{5A6938A9-739E-4A03-A861-C791D26D035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BB38F01-8950-47A1-A9D6-AA20F3133A43}">
          <x14:formula1>
            <xm:f>'Auto Responses'!$J$3:$J$4</xm:f>
          </x14:formula1>
          <xm:sqref>C39:C51 C22:C28 C30:C34 C36 C53:C66 C68</xm:sqref>
        </x14:dataValidation>
        <x14:dataValidation type="list" allowBlank="1" showInputMessage="1" showErrorMessage="1" xr:uid="{8A0D1ED3-A136-4F15-82D5-FDBC28F567F3}">
          <x14:formula1>
            <xm:f>'Auto Responses'!$J$3:$J$5</xm:f>
          </x14:formula1>
          <xm:sqref>C37:C38 C67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F7D6-4E37-409B-A8D9-E830FAA14D4D}">
  <sheetPr>
    <tabColor rgb="FF00636C"/>
  </sheetPr>
  <dimension ref="A1:L85"/>
  <sheetViews>
    <sheetView showGridLines="0" showZeros="0" topLeftCell="A47" zoomScale="80" zoomScaleNormal="80" workbookViewId="0">
      <selection activeCell="D51" sqref="C39:D61"/>
    </sheetView>
  </sheetViews>
  <sheetFormatPr defaultColWidth="0" defaultRowHeight="0" customHeight="1" zeroHeight="1" x14ac:dyDescent="0.25"/>
  <cols>
    <col min="1" max="1" width="8.265625" customWidth="1"/>
    <col min="2" max="2" width="55.06640625" style="1" customWidth="1"/>
    <col min="3" max="3" width="18.86328125" style="14" customWidth="1"/>
    <col min="4" max="4" width="55.6640625" style="15" customWidth="1"/>
    <col min="5" max="5" width="32" style="16" customWidth="1"/>
    <col min="6" max="6" width="30.6640625" style="1" customWidth="1"/>
    <col min="7" max="7" width="18.06640625" style="1" customWidth="1"/>
    <col min="8" max="8" width="18.06640625" style="1" hidden="1" customWidth="1"/>
    <col min="9" max="10" width="18.06640625" style="42" hidden="1" customWidth="1"/>
    <col min="11" max="11" width="4.46484375" style="1" hidden="1" customWidth="1"/>
    <col min="12" max="12" width="6.59765625" style="1" hidden="1" customWidth="1"/>
    <col min="13" max="16384" width="6.59765625" hidden="1"/>
  </cols>
  <sheetData>
    <row r="1" spans="1:10" ht="0" hidden="1" customHeight="1" x14ac:dyDescent="0.25">
      <c r="A1" t="s">
        <v>1530</v>
      </c>
    </row>
    <row r="2" spans="1:10" ht="36" customHeight="1" x14ac:dyDescent="0.25">
      <c r="A2" s="175" t="s">
        <v>1453</v>
      </c>
      <c r="B2" s="175"/>
      <c r="C2" s="176"/>
      <c r="D2" s="328"/>
      <c r="E2" s="177"/>
      <c r="F2" s="177" t="str">
        <f>'Auto Responses'!$A$36</f>
        <v>Version 4.1.0</v>
      </c>
      <c r="J2" s="1"/>
    </row>
    <row r="3" spans="1:10" s="1" customFormat="1" ht="29.15" customHeight="1" x14ac:dyDescent="0.25">
      <c r="A3" s="44" t="s">
        <v>996</v>
      </c>
      <c r="B3" s="45"/>
      <c r="C3" s="73">
        <f>'START HERE'!$C$3</f>
        <v>45894</v>
      </c>
      <c r="D3" s="329"/>
      <c r="E3" s="43"/>
      <c r="F3" s="57"/>
      <c r="I3" s="42"/>
    </row>
    <row r="4" spans="1:10" s="1" customFormat="1" ht="36" customHeight="1" x14ac:dyDescent="0.25">
      <c r="A4" s="17" t="s">
        <v>921</v>
      </c>
      <c r="B4" s="18"/>
      <c r="C4" s="19"/>
      <c r="D4" s="20"/>
      <c r="E4" s="21"/>
      <c r="F4" s="21"/>
      <c r="I4" s="42"/>
    </row>
    <row r="5" spans="1:10" s="1" customFormat="1" ht="19.5" customHeight="1" x14ac:dyDescent="0.25">
      <c r="A5" s="49" t="str">
        <f>HLOOKUP($A$4,'Auto Responses'!$D$2:$D$8,2,0)&amp;""</f>
        <v>1. Complete the "Start Here" tab and review the "Required Questions" guidance to find the other sections are required for your product or service.</v>
      </c>
      <c r="B5" s="22"/>
      <c r="C5" s="74"/>
      <c r="D5" s="330"/>
      <c r="E5" s="22"/>
      <c r="F5" s="22"/>
      <c r="I5" s="42"/>
    </row>
    <row r="6" spans="1:10" s="1" customFormat="1" ht="19.5" customHeight="1" x14ac:dyDescent="0.25">
      <c r="A6" s="49" t="str">
        <f>HLOOKUP($A$4,'Auto Responses'!$D$2:$D$8,3,0)&amp;""</f>
        <v>2. Complete the "Organization" tab and the applicable questions in each of the next 5 tabs (Product through Privacy) that apply, based on your answers to the "Required Questions."</v>
      </c>
      <c r="B6" s="22"/>
      <c r="C6" s="74"/>
      <c r="D6" s="330"/>
      <c r="E6" s="22"/>
      <c r="F6" s="22"/>
      <c r="I6" s="42"/>
    </row>
    <row r="7" spans="1:10" s="1" customFormat="1" ht="19.5" customHeight="1" x14ac:dyDescent="0.25">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2"/>
      <c r="I7" s="42"/>
    </row>
    <row r="8" spans="1:10" s="1" customFormat="1" ht="19.5" customHeight="1" x14ac:dyDescent="0.25">
      <c r="A8" s="49" t="str">
        <f>HLOOKUP($A$4,'Auto Responses'!$D$2:$D$8,5,0)&amp;""</f>
        <v>4. DO NOT complete any fields in the "Evaluation" sheets or the "Analyst Notes" column.</v>
      </c>
      <c r="B8" s="22"/>
      <c r="C8" s="74"/>
      <c r="D8" s="330"/>
      <c r="E8" s="22"/>
      <c r="F8" s="22"/>
      <c r="I8" s="42"/>
    </row>
    <row r="9" spans="1:10" s="1" customFormat="1" ht="19.5" customHeight="1" x14ac:dyDescent="0.25">
      <c r="A9" s="49" t="str">
        <f>HLOOKUP($A$4,'Auto Responses'!$D$2:$D$8,6,0)&amp;""</f>
        <v>5. Return the completed file to institutions.</v>
      </c>
      <c r="B9" s="22"/>
      <c r="C9" s="74"/>
      <c r="D9" s="330"/>
      <c r="E9" s="22"/>
      <c r="F9" s="22"/>
      <c r="I9" s="42"/>
    </row>
    <row r="10" spans="1:10" s="1" customFormat="1" ht="19.5" customHeight="1" x14ac:dyDescent="0.25">
      <c r="A10" s="265" t="str">
        <f>HLOOKUP($A$4,'Auto Responses'!$D$2:$D$8,7,0)&amp;""</f>
        <v>* Denotes critical questions. Critical questions are those deemed most important to institutions by higher education volunteers.</v>
      </c>
      <c r="B10" s="22"/>
      <c r="C10" s="74"/>
      <c r="D10" s="330"/>
      <c r="E10" s="22"/>
      <c r="F10" s="22"/>
      <c r="I10" s="42"/>
    </row>
    <row r="11" spans="1:10" s="1" customFormat="1" ht="19.5" customHeight="1" x14ac:dyDescent="0.25">
      <c r="A11" s="264" t="str">
        <f>HLOOKUP($A$4,'Auto Responses'!$D$2:$D$9,8,0)&amp;""</f>
        <v>For full instructions, please visit educause.edu/HECVAT</v>
      </c>
      <c r="B11" s="22"/>
      <c r="C11" s="74"/>
      <c r="D11" s="330"/>
      <c r="E11" s="22"/>
      <c r="F11" s="22"/>
      <c r="I11" s="42"/>
    </row>
    <row r="12" spans="1:10" s="1" customFormat="1" ht="36" customHeight="1" x14ac:dyDescent="0.25">
      <c r="A12" s="70" t="str">
        <f>VLOOKUP(LEFT($A13,4),'Auto Responses'!$N$4:$O$38,2,0)&amp;""</f>
        <v xml:space="preserve"> General Information</v>
      </c>
      <c r="B12" s="18"/>
      <c r="C12" s="19" t="s">
        <v>1583</v>
      </c>
      <c r="D12" s="331"/>
      <c r="E12" s="23"/>
      <c r="F12" s="23"/>
      <c r="I12" s="42"/>
      <c r="J12" s="42"/>
    </row>
    <row r="13" spans="1:10" s="1" customFormat="1" ht="22.4" customHeight="1" x14ac:dyDescent="0.25">
      <c r="A13" s="25" t="s">
        <v>21</v>
      </c>
      <c r="B13" s="26" t="str">
        <f>VLOOKUP($A13,Questions!$A$2:$X$333,2,0)&amp;""</f>
        <v>Solution Provider Name</v>
      </c>
      <c r="C13" s="83" t="str">
        <f>VLOOKUP($A13,'START HERE'!$A$13:$C$21,3,0)&amp;""</f>
        <v xml:space="preserve">Cirrus Identity </v>
      </c>
      <c r="D13" s="39"/>
      <c r="E13" s="39"/>
      <c r="F13" s="57"/>
      <c r="I13" s="42"/>
      <c r="J13" s="42"/>
    </row>
    <row r="14" spans="1:10" s="1" customFormat="1" ht="22.4" customHeight="1" x14ac:dyDescent="0.25">
      <c r="A14" s="25" t="s">
        <v>24</v>
      </c>
      <c r="B14" s="26" t="str">
        <f>VLOOKUP($A14,Questions!$A$2:$X$333,2,0)&amp;""</f>
        <v>Solution Name</v>
      </c>
      <c r="C14" s="83" t="str">
        <f>VLOOKUP($A14,'START HERE'!$A$13:$C$21,3,0)&amp;""</f>
        <v>Cirrus Identity Gateway, Cirrus Identity Proxy, Cirrus Identity Bridge, Cirrus Identity Attribute Authority, Cirrus Identity Invitation, Cirrus Identity Account Linking, Cirrus Identity OrgBrandedID, and Cirrus Identity MFA -- Collective referred to as Cirrus Identity Products</v>
      </c>
      <c r="D14" s="39"/>
      <c r="E14" s="39"/>
      <c r="F14" s="57"/>
      <c r="I14" s="42"/>
      <c r="J14" s="42"/>
    </row>
    <row r="15" spans="1:10" s="1" customFormat="1" ht="22.4" customHeight="1" x14ac:dyDescent="0.25">
      <c r="A15" s="25" t="s">
        <v>25</v>
      </c>
      <c r="B15" s="26" t="str">
        <f>VLOOKUP($A15,Questions!$A$2:$X$333,2,0)&amp;""</f>
        <v>Solution Description</v>
      </c>
      <c r="C15" s="83" t="str">
        <f>VLOOKUP($A15,'START HERE'!$A$13:$C$21,3,0)&amp;""</f>
        <v>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v>
      </c>
      <c r="D15" s="39"/>
      <c r="E15" s="39"/>
      <c r="F15" s="57"/>
      <c r="I15" s="42"/>
      <c r="J15" s="42"/>
    </row>
    <row r="16" spans="1:10" s="1" customFormat="1" ht="22.4" customHeight="1" thickBot="1" x14ac:dyDescent="0.3">
      <c r="A16" s="25" t="s">
        <v>30</v>
      </c>
      <c r="B16" s="26" t="str">
        <f>VLOOKUP($A16,Questions!$A$2:$X$333,2,0)&amp;""</f>
        <v>Country of Company Headquarters</v>
      </c>
      <c r="C16" s="83" t="str">
        <f>VLOOKUP($A16,'START HERE'!$A$13:$C$21,3,0)&amp;""</f>
        <v>United States</v>
      </c>
      <c r="D16" s="39"/>
      <c r="E16" s="39"/>
      <c r="F16" s="57"/>
      <c r="I16" s="42"/>
      <c r="J16" s="42"/>
    </row>
    <row r="17" spans="1:10" s="1" customFormat="1" ht="37.4" customHeight="1" thickBot="1" x14ac:dyDescent="0.3">
      <c r="A17" s="70" t="str">
        <f>VLOOKUP(LEFT($A18,4),'Auto Responses'!$N$4:$O$38,2,0)&amp;""</f>
        <v xml:space="preserve"> Required Questions</v>
      </c>
      <c r="B17" s="29"/>
      <c r="C17" s="19" t="s">
        <v>1583</v>
      </c>
      <c r="D17" s="19"/>
      <c r="E17" s="38" t="s">
        <v>904</v>
      </c>
      <c r="F17" s="194" t="s">
        <v>905</v>
      </c>
      <c r="I17" s="42"/>
      <c r="J17" s="42"/>
    </row>
    <row r="18" spans="1:10" s="1" customFormat="1" ht="38.25" customHeight="1" thickBot="1" x14ac:dyDescent="0.3">
      <c r="A18" s="25" t="s">
        <v>48</v>
      </c>
      <c r="B18" s="24" t="str">
        <f>VLOOKUP($A18,Questions!$A$2:$X$333,2,0)</f>
        <v>Are you offering either a product or platform, as opposed to only offering a service</v>
      </c>
      <c r="C18" s="79" t="str">
        <f>VLOOKUP($A18,'START HERE'!$A$23:$F$36,3,0)&amp;""</f>
        <v>Yes</v>
      </c>
      <c r="D18" s="332" t="str">
        <f>VLOOKUP($A18,'START HERE'!$A$23:$F$36,4,0)&amp;""</f>
        <v/>
      </c>
      <c r="E18" s="174" t="str">
        <f>IF($C18="Yes",VLOOKUP($A18,Questions!$A$2:$X$333,17,0)&amp;"",IF($C18="No",VLOOKUP($A18,Questions!$A$2:$X$333,16,0)&amp;"",VLOOKUP($A18,Questions!$A$2:$X$333,15,0)&amp;""))</f>
        <v>DO complete the Product and Infrastructure worksheets</v>
      </c>
      <c r="F18" s="208" t="str">
        <f>VLOOKUP($A18,'Institution Evaluation'!$A$56:$F$346,6,0)&amp;""</f>
        <v/>
      </c>
      <c r="G18" s="255" t="s">
        <v>1531</v>
      </c>
      <c r="I18" s="42"/>
      <c r="J18" s="42"/>
    </row>
    <row r="19" spans="1:10" s="1" customFormat="1" ht="37.4" customHeight="1" thickBot="1" x14ac:dyDescent="0.3">
      <c r="A19" s="70" t="str">
        <f>VLOOKUP(LEFT($A20,4),'Auto Responses'!$N$4:$O$38,2,0)&amp;""</f>
        <v xml:space="preserve"> Authentication, Authorization, and Account Management</v>
      </c>
      <c r="B19" s="29"/>
      <c r="C19" s="19" t="s">
        <v>1583</v>
      </c>
      <c r="D19" s="19" t="s">
        <v>72</v>
      </c>
      <c r="E19" s="38" t="s">
        <v>904</v>
      </c>
      <c r="F19" s="194" t="s">
        <v>905</v>
      </c>
      <c r="I19" s="42"/>
      <c r="J19" s="42"/>
    </row>
    <row r="20" spans="1:10" s="1" customFormat="1" ht="97.5" customHeight="1" x14ac:dyDescent="0.25">
      <c r="A20" s="25" t="s">
        <v>222</v>
      </c>
      <c r="B20" s="24" t="str">
        <f>VLOOKUP($A20,Questions!$A$2:$X$333,2,0)</f>
        <v>Does your solution support single sign-on (SSO) protocols for user and administrator authentication?*</v>
      </c>
      <c r="C20" s="27" t="s">
        <v>40</v>
      </c>
      <c r="D20" s="333" t="s">
        <v>1702</v>
      </c>
      <c r="E20" s="174" t="str">
        <f>IF($C$18="No",'Auto Responses'!$A$3,IF($C20="Yes",VLOOKUP($A20,Questions!$A$2:$X$333,17,0)&amp;"",IF($C20="No",VLOOKUP($A20,Questions!$A$2:$X$333,16,0)&amp;"",VLOOKUP($A20,Questions!$A$2:$X$333,15,0)&amp;"")))</f>
        <v>Describe how strong authentication is enforced (e.g., complex passwords, multifactor tokens, certificates, biometrics, aging requirements, re-use policy).</v>
      </c>
      <c r="F20" s="208" t="str">
        <f>VLOOKUP($A20,'Institution Evaluation'!$A$56:$F$346,6,0)&amp;""</f>
        <v/>
      </c>
      <c r="I20" s="42"/>
      <c r="J20" s="42"/>
    </row>
    <row r="21" spans="1:10" s="1" customFormat="1" ht="45.75" customHeight="1" x14ac:dyDescent="0.25">
      <c r="A21" s="25" t="s">
        <v>227</v>
      </c>
      <c r="B21" s="24" t="str">
        <f>VLOOKUP($A21,Questions!$A$2:$X$333,2,0)</f>
        <v>For customers not using SSO, does your solution support local authentication protocols for user and administrator authentication?*</v>
      </c>
      <c r="C21" s="27" t="s">
        <v>149</v>
      </c>
      <c r="D21" s="333" t="s">
        <v>1703</v>
      </c>
      <c r="E21" s="174" t="str">
        <f>IF($C$18="No",'Auto Responses'!$A$3,IF($C21="Yes",VLOOKUP($A21,Questions!$A$2:$X$333,17,0)&amp;"",IF($C21="No",VLOOKUP($A21,Questions!$A$2:$X$333,16,0)&amp;"",VLOOKUP($A21,Questions!$A$2:$X$333,15,0)&amp;"")))</f>
        <v>Describe any plans to support local authentication modes.</v>
      </c>
      <c r="F21" s="208" t="str">
        <f>VLOOKUP($A21,'Institution Evaluation'!$A$56:$F$346,6,0)&amp;""</f>
        <v/>
      </c>
      <c r="I21" s="42"/>
      <c r="J21" s="42"/>
    </row>
    <row r="22" spans="1:10" s="1" customFormat="1" ht="48" customHeight="1" x14ac:dyDescent="0.25">
      <c r="A22" s="25" t="s">
        <v>231</v>
      </c>
      <c r="B22" s="24" t="str">
        <f>VLOOKUP($A22,Questions!$A$2:$X$333,2,0)</f>
        <v>For customers not using SSO, can you enforce password/passphrase complexity requirements (provided by the institution)?*</v>
      </c>
      <c r="C22" s="27" t="s">
        <v>40</v>
      </c>
      <c r="D22" s="333" t="s">
        <v>1704</v>
      </c>
      <c r="E22" s="174" t="str">
        <f>IF($C$18="No",'Auto Responses'!$A$3,IF($C22="Yes",VLOOKUP($A22,Questions!$A$2:$X$333,17,0)&amp;"",IF($C22="No",VLOOKUP($A22,Questions!$A$2:$X$333,16,0)&amp;"",VLOOKUP($A22,Questions!$A$2:$X$333,15,0)&amp;"")))</f>
        <v>Describe how password/passphrase complexity requirements are implemented in the product.</v>
      </c>
      <c r="F22" s="208" t="str">
        <f>VLOOKUP($A22,'Institution Evaluation'!$A$56:$F$346,6,0)&amp;""</f>
        <v/>
      </c>
      <c r="I22" s="42"/>
      <c r="J22" s="42"/>
    </row>
    <row r="23" spans="1:10" s="1" customFormat="1" ht="72" customHeight="1" x14ac:dyDescent="0.25">
      <c r="A23" s="25" t="s">
        <v>232</v>
      </c>
      <c r="B23" s="24" t="str">
        <f>VLOOKUP($A23,Questions!$A$2:$X$333,2,0)</f>
        <v>For customers not using SSO, does the system have password complexity or length limitations and/or restrictions?*</v>
      </c>
      <c r="C23" s="27" t="s">
        <v>40</v>
      </c>
      <c r="D23" s="333" t="s">
        <v>1705</v>
      </c>
      <c r="E23" s="174" t="str">
        <f>IF($C$18="No",'Auto Responses'!$A$3,IF($C23="Yes",VLOOKUP($A23,Questions!$A$2:$X$333,17,0)&amp;"",IF($C23="No",VLOOKUP($A23,Questions!$A$2:$X$333,16,0)&amp;"",VLOOKUP($A23,Questions!$A$2:$X$333,15,0)&amp;"")))</f>
        <v>Describe these limitations and/or restrictions and state what lengths and complexities are supported.</v>
      </c>
      <c r="F23" s="208" t="str">
        <f>VLOOKUP($A23,'Institution Evaluation'!$A$56:$F$346,6,0)&amp;""</f>
        <v/>
      </c>
      <c r="I23" s="42"/>
      <c r="J23" s="42"/>
    </row>
    <row r="24" spans="1:10" s="1" customFormat="1" ht="73.5" customHeight="1" x14ac:dyDescent="0.25">
      <c r="A24" s="25" t="s">
        <v>236</v>
      </c>
      <c r="B24" s="24" t="str">
        <f>VLOOKUP($A24,Questions!$A$2:$X$333,2,0)</f>
        <v>For customers not using SSO, do you have documented password/passphrase reset procedures that are currently implemented in the system and/or customer support?*</v>
      </c>
      <c r="C24" s="27" t="s">
        <v>40</v>
      </c>
      <c r="D24" s="333" t="s">
        <v>1706</v>
      </c>
      <c r="E24" s="174" t="str">
        <f>IF($C$18="No",'Auto Responses'!$A$3,IF($C24="Yes",VLOOKUP($A24,Questions!$A$2:$X$333,17,0)&amp;"",IF($C24="No",VLOOKUP($A24,Questions!$A$2:$X$333,16,0)&amp;"",VLOOKUP($A24,Questions!$A$2:$X$333,15,0)&amp;"")))</f>
        <v>Describe your documented password/passphrase reset procedures that are currently implemented in the system and/or customer support.</v>
      </c>
      <c r="F24" s="208" t="str">
        <f>VLOOKUP($A24,'Institution Evaluation'!$A$56:$F$346,6,0)&amp;""</f>
        <v/>
      </c>
      <c r="H24" s="179"/>
      <c r="I24" s="42"/>
      <c r="J24" s="42"/>
    </row>
    <row r="25" spans="1:10" s="1" customFormat="1" ht="57.75" customHeight="1" x14ac:dyDescent="0.25">
      <c r="A25" s="25" t="s">
        <v>239</v>
      </c>
      <c r="B25" s="24" t="str">
        <f>VLOOKUP($A25,Questions!$A$2:$X$333,2,0)</f>
        <v>Does your organization participate in InCommon or another eduGAIN-affiliated trust federation?*</v>
      </c>
      <c r="C25" s="27" t="s">
        <v>40</v>
      </c>
      <c r="D25" s="333" t="s">
        <v>1707</v>
      </c>
      <c r="E25" s="174" t="str">
        <f>IF($C$18="No",'Auto Responses'!$A$3,IF($C25="Yes",VLOOKUP($A25,Questions!$A$2:$X$333,17,0)&amp;"",IF($C25="No",VLOOKUP($A25,Questions!$A$2:$X$333,16,0)&amp;"",VLOOKUP($A25,Questions!$A$2:$X$333,15,0)&amp;"")))</f>
        <v>List the entity IDs registered in the Additional Information column.</v>
      </c>
      <c r="F25" s="208" t="str">
        <f>VLOOKUP($A25,'Institution Evaluation'!$A$56:$F$346,6,0)&amp;""</f>
        <v/>
      </c>
      <c r="I25" s="42"/>
      <c r="J25" s="42"/>
    </row>
    <row r="26" spans="1:10" s="1" customFormat="1" ht="38.25" customHeight="1" x14ac:dyDescent="0.25">
      <c r="A26" s="25" t="s">
        <v>242</v>
      </c>
      <c r="B26" s="24" t="str">
        <f>VLOOKUP($A26,Questions!$A$2:$X$333,2,0)</f>
        <v>Are there any passwords/passphrases hard-coded into your systems or solutions?*</v>
      </c>
      <c r="C26" s="27" t="s">
        <v>149</v>
      </c>
      <c r="D26" s="333"/>
      <c r="E26" s="174" t="str">
        <f>IF($C$18="No",'Auto Responses'!$A$3,IF($C26="Yes",VLOOKUP($A26,Questions!$A$2:$X$333,17,0)&amp;"",IF($C26="No",VLOOKUP($A26,Questions!$A$2:$X$333,16,0)&amp;"",VLOOKUP($A26,Questions!$A$2:$X$333,15,0)&amp;"")))</f>
        <v/>
      </c>
      <c r="F26" s="208" t="str">
        <f>VLOOKUP($A26,'Institution Evaluation'!$A$56:$F$346,6,0)&amp;""</f>
        <v/>
      </c>
      <c r="I26" s="42"/>
      <c r="J26" s="42"/>
    </row>
    <row r="27" spans="1:10" s="1" customFormat="1" ht="38.25" customHeight="1" x14ac:dyDescent="0.25">
      <c r="A27" s="25" t="s">
        <v>245</v>
      </c>
      <c r="B27" s="24" t="str">
        <f>VLOOKUP($A27,Questions!$A$2:$X$333,2,0)</f>
        <v>Are you storing any passwords in plaintext?*</v>
      </c>
      <c r="C27" s="27" t="s">
        <v>149</v>
      </c>
      <c r="D27" s="333"/>
      <c r="E27" s="174" t="str">
        <f>IF($C$18="No",'Auto Responses'!$A$3,IF($C27="Yes",VLOOKUP($A27,Questions!$A$2:$X$333,17,0)&amp;"",IF($C27="No",VLOOKUP($A27,Questions!$A$2:$X$333,16,0)&amp;"",VLOOKUP($A27,Questions!$A$2:$X$333,15,0)&amp;"")))</f>
        <v/>
      </c>
      <c r="F27" s="208" t="str">
        <f>VLOOKUP($A27,'Institution Evaluation'!$A$56:$F$346,6,0)&amp;""</f>
        <v/>
      </c>
      <c r="I27" s="42"/>
      <c r="J27" s="42"/>
    </row>
    <row r="28" spans="1:10" s="1" customFormat="1" ht="69.75" customHeight="1" x14ac:dyDescent="0.25">
      <c r="A28" s="25" t="s">
        <v>248</v>
      </c>
      <c r="B28" s="24" t="str">
        <f>VLOOKUP($A28,Questions!$A$2:$X$333,2,0)</f>
        <v>Are audit logs available that include AT LEAST all of the following: login, logout, actions performed, and source IP address?*</v>
      </c>
      <c r="C28" s="27" t="s">
        <v>40</v>
      </c>
      <c r="D28" s="333" t="s">
        <v>1708</v>
      </c>
      <c r="E28" s="174" t="str">
        <f>IF($C$18="No",'Auto Responses'!$A$3,IF($C28="Yes",VLOOKUP($A28,Questions!$A$2:$X$333,17,0)&amp;"",IF($C28="No",VLOOKUP($A28,Questions!$A$2:$X$333,16,0)&amp;"",VLOOKUP($A28,Questions!$A$2:$X$333,15,0)&amp;"")))</f>
        <v/>
      </c>
      <c r="F28" s="208" t="str">
        <f>VLOOKUP($A28,'Institution Evaluation'!$A$56:$F$346,6,0)&amp;""</f>
        <v/>
      </c>
      <c r="I28" s="42"/>
      <c r="J28" s="42"/>
    </row>
    <row r="29" spans="1:10" s="1" customFormat="1" ht="104.25" customHeight="1" x14ac:dyDescent="0.25">
      <c r="A29" s="25" t="s">
        <v>251</v>
      </c>
      <c r="B29" s="24" t="str">
        <f>VLOOKUP($A29,Questions!$A$2:$X$333,2,0)</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29" s="84" t="s">
        <v>1709</v>
      </c>
      <c r="D29" s="333"/>
      <c r="E29" s="174" t="str">
        <f>IF($C$18="No",'Auto Responses'!$A$3,IF($C29="Yes",VLOOKUP($A29,Questions!$A$2:$X$333,17,0)&amp;"",IF($C29="No",VLOOKUP($A29,Questions!$A$2:$X$333,16,0)&amp;"",VLOOKUP($A29,Questions!$A$2:$X$333,15,0)&amp;"")))</f>
        <v>Ensure that all elements of AAAI-10 are clearly stated in your response.</v>
      </c>
      <c r="F29" s="208" t="str">
        <f>VLOOKUP($A29,'Institution Evaluation'!$A$56:$F$346,6,0)&amp;""</f>
        <v/>
      </c>
      <c r="I29" s="42"/>
      <c r="J29" s="42"/>
    </row>
    <row r="30" spans="1:10" s="1" customFormat="1" ht="48" customHeight="1" x14ac:dyDescent="0.25">
      <c r="A30" s="25" t="s">
        <v>255</v>
      </c>
      <c r="B30" s="24" t="str">
        <f>VLOOKUP($A30,Questions!$A$2:$X$333,2,0)</f>
        <v>Can you provide the institution documentation regarding the retention period for those logs, how logs are protected, and whether they are accessible to the customer (and if so, how)?*</v>
      </c>
      <c r="C30" s="27" t="s">
        <v>40</v>
      </c>
      <c r="D30" s="333" t="s">
        <v>1710</v>
      </c>
      <c r="E30" s="174" t="str">
        <f>IF($C$18="No",'Auto Responses'!$A$3,IF($C30="Yes",VLOOKUP($A30,Questions!$A$2:$X$333,17,0)&amp;"",IF($C30="No",VLOOKUP($A30,Questions!$A$2:$X$333,16,0)&amp;"",VLOOKUP($A30,Questions!$A$2:$X$333,15,0)&amp;"")))</f>
        <v/>
      </c>
      <c r="F30" s="208" t="str">
        <f>VLOOKUP($A30,'Institution Evaluation'!$A$56:$F$346,6,0)&amp;""</f>
        <v/>
      </c>
      <c r="I30" s="42"/>
      <c r="J30" s="42"/>
    </row>
    <row r="31" spans="1:10" s="1" customFormat="1" ht="55.5" customHeight="1" x14ac:dyDescent="0.25">
      <c r="A31" s="25" t="s">
        <v>259</v>
      </c>
      <c r="B31" s="24" t="str">
        <f>VLOOKUP($A31,Questions!$A$2:$X$333,2,0)</f>
        <v>For customers not using SSO, does your application support integration with other authentication and authorization systems?</v>
      </c>
      <c r="C31" s="27" t="s">
        <v>40</v>
      </c>
      <c r="D31" s="333" t="s">
        <v>1711</v>
      </c>
      <c r="E31" s="174" t="str">
        <f>IF($C$18="No",'Auto Responses'!$A$3,IF($C31="Yes",VLOOKUP($A31,Questions!$A$2:$X$333,17,0)&amp;"",IF($C31="No",VLOOKUP($A31,Questions!$A$2:$X$333,16,0)&amp;"",VLOOKUP($A31,Questions!$A$2:$X$333,15,0)&amp;"")))</f>
        <v>List which systems and versions supported (such as Active Directory, Kerberos, or other LDAP compatible directory) in Additional Info.</v>
      </c>
      <c r="F31" s="208" t="str">
        <f>VLOOKUP($A31,'Institution Evaluation'!$A$56:$F$346,6,0)&amp;""</f>
        <v/>
      </c>
      <c r="I31" s="42"/>
      <c r="J31" s="42"/>
    </row>
    <row r="32" spans="1:10" s="1" customFormat="1" ht="51.75" customHeight="1" x14ac:dyDescent="0.25">
      <c r="A32" s="25" t="s">
        <v>261</v>
      </c>
      <c r="B32" s="24" t="str">
        <f>VLOOKUP($A32,Questions!$A$2:$X$333,2,0)</f>
        <v>Do you allow the customer to specify attribute mappings for any needed information beyond a user identifier? (e.g., Reference eduPerson, ePPA/ePPN/ePE)</v>
      </c>
      <c r="C32" s="27" t="s">
        <v>40</v>
      </c>
      <c r="D32" s="333"/>
      <c r="E32" s="174" t="str">
        <f>IF($C$18="No",'Auto Responses'!$A$3,IF($C32="Yes",VLOOKUP($A32,Questions!$A$2:$X$333,17,0)&amp;"",IF($C32="No",VLOOKUP($A32,Questions!$A$2:$X$333,16,0)&amp;"",VLOOKUP($A32,Questions!$A$2:$X$333,15,0)&amp;"")))</f>
        <v/>
      </c>
      <c r="F32" s="208" t="str">
        <f>VLOOKUP($A32,'Institution Evaluation'!$A$56:$F$346,6,0)&amp;""</f>
        <v/>
      </c>
      <c r="I32" s="42"/>
      <c r="J32" s="42"/>
    </row>
    <row r="33" spans="1:10" s="1" customFormat="1" ht="60" customHeight="1" x14ac:dyDescent="0.25">
      <c r="A33" s="25" t="s">
        <v>266</v>
      </c>
      <c r="B33" s="24" t="str">
        <f>VLOOKUP($A33,Questions!$A$2:$X$333,2,0)</f>
        <v>For customers not using SSO, does your application support directory integration for user accounts?</v>
      </c>
      <c r="C33" s="27" t="s">
        <v>40</v>
      </c>
      <c r="D33" s="333" t="s">
        <v>1712</v>
      </c>
      <c r="E33" s="174" t="str">
        <f>IF($C$18="No",'Auto Responses'!$A$3,IF($C33="Yes",VLOOKUP($A33,Questions!$A$2:$X$333,17,0)&amp;"",IF($C33="No",VLOOKUP($A33,Questions!$A$2:$X$333,16,0)&amp;"",VLOOKUP($A33,Questions!$A$2:$X$333,15,0)&amp;"")))</f>
        <v>Describe all authentication services supported by the system.</v>
      </c>
      <c r="F33" s="208" t="str">
        <f>VLOOKUP($A33,'Institution Evaluation'!$A$56:$F$346,6,0)&amp;""</f>
        <v/>
      </c>
      <c r="I33" s="42"/>
      <c r="J33" s="42"/>
    </row>
    <row r="34" spans="1:10" s="1" customFormat="1" ht="75" customHeight="1" x14ac:dyDescent="0.25">
      <c r="A34" s="25" t="s">
        <v>267</v>
      </c>
      <c r="B34" s="24" t="str">
        <f>VLOOKUP($A34,Questions!$A$2:$X$333,2,0)</f>
        <v>Does your solution support any of the following web SSO standards: SAML2 (with redirect flow), OIDC, CAS, or other?</v>
      </c>
      <c r="C34" s="27" t="s">
        <v>40</v>
      </c>
      <c r="D34" s="333" t="s">
        <v>1713</v>
      </c>
      <c r="E34" s="174" t="str">
        <f>IF($C$18="No",'Auto Responses'!$A$3,IF($C34="Yes",VLOOKUP($A34,Questions!$A$2:$X$333,17,0)&amp;"",IF($C34="No",VLOOKUP($A34,Questions!$A$2:$X$333,16,0)&amp;"",VLOOKUP($A34,Questions!$A$2:$X$333,15,0)&amp;"")))</f>
        <v>State the web SSO standards supported by your solution and provide additional details about your support, including framework(s) in use, how information is exchanged securely, etc.</v>
      </c>
      <c r="F34" s="208" t="str">
        <f>VLOOKUP($A34,'Institution Evaluation'!$A$56:$F$346,6,0)&amp;""</f>
        <v/>
      </c>
      <c r="I34" s="42"/>
      <c r="J34" s="42"/>
    </row>
    <row r="35" spans="1:10" s="1" customFormat="1" ht="70.5" customHeight="1" x14ac:dyDescent="0.25">
      <c r="A35" s="25" t="s">
        <v>271</v>
      </c>
      <c r="B35" s="24" t="str">
        <f>VLOOKUP($A35,Questions!$A$2:$X$333,2,0)</f>
        <v>Do you support differentiation between email address and user identifier?</v>
      </c>
      <c r="C35" s="27" t="s">
        <v>40</v>
      </c>
      <c r="D35" s="333"/>
      <c r="E35" s="174" t="str">
        <f>IF($C$18="No",'Auto Responses'!$A$3,IF($C35="Yes",VLOOKUP($A35,Questions!$A$2:$X$333,17,0)&amp;"",IF($C35="No",VLOOKUP($A35,Questions!$A$2:$X$333,16,0)&amp;"",VLOOKUP($A35,Questions!$A$2:$X$333,15,0)&amp;"")))</f>
        <v/>
      </c>
      <c r="F35" s="208" t="str">
        <f>VLOOKUP($A35,'Institution Evaluation'!$A$56:$F$346,6,0)&amp;""</f>
        <v/>
      </c>
      <c r="I35" s="42"/>
      <c r="J35" s="42"/>
    </row>
    <row r="36" spans="1:10" s="1" customFormat="1" ht="57.75" customHeight="1" x14ac:dyDescent="0.25">
      <c r="A36" s="25" t="s">
        <v>274</v>
      </c>
      <c r="B36" s="24" t="str">
        <f>VLOOKUP($A36,Questions!$A$2:$X$333,2,0)</f>
        <v>For customers not using SSO, does your application and/or user frontend/portal support multifactor authentication (e.g., Duo, Google Authenticator, OTP, etc.)?</v>
      </c>
      <c r="C36" s="27" t="s">
        <v>40</v>
      </c>
      <c r="D36" s="333" t="s">
        <v>1714</v>
      </c>
      <c r="E36" s="174" t="str">
        <f>IF($C$18="No",'Auto Responses'!$A$3,IF($C$20="No",'Auto Responses'!$A$28,IF($C36="Yes",VLOOKUP($A36,Questions!$A$2:$X$333,17,0)&amp;"",IF($C36="No",VLOOKUP($A36,Questions!$A$2:$X$333,16,0)&amp;"",VLOOKUP($A36,Questions!$A$2:$X$333,15,0)&amp;""))))</f>
        <v>List all supported multifactor authentication methods, technologies, and/or solutions and provide a brief summary of each.</v>
      </c>
      <c r="F36" s="208" t="str">
        <f>VLOOKUP($A36,'Institution Evaluation'!$A$56:$F$346,6,0)&amp;""</f>
        <v/>
      </c>
      <c r="I36" s="42"/>
      <c r="J36" s="42"/>
    </row>
    <row r="37" spans="1:10" s="1" customFormat="1" ht="99" customHeight="1" thickBot="1" x14ac:dyDescent="0.3">
      <c r="A37" s="25" t="s">
        <v>277</v>
      </c>
      <c r="B37" s="24" t="str">
        <f>VLOOKUP($A37,Questions!$A$2:$X$333,2,0)</f>
        <v>Does your application automatically lock the session or log out an account after a period of inactivity?</v>
      </c>
      <c r="C37" s="27" t="s">
        <v>40</v>
      </c>
      <c r="D37" s="333" t="s">
        <v>1715</v>
      </c>
      <c r="E37" s="174" t="str">
        <f>IF($C$18="No",'Auto Responses'!$A$3,IF($C37="Yes",VLOOKUP($A37,Questions!$A$2:$X$333,17,0)&amp;"",IF($C37="No",VLOOKUP($A37,Questions!$A$2:$X$333,16,0)&amp;"",VLOOKUP($A37,Questions!$A$2:$X$333,15,0)&amp;"")))</f>
        <v>Describe the default behavior of this capability.</v>
      </c>
      <c r="F37" s="208" t="str">
        <f>VLOOKUP($A37,'Institution Evaluation'!$A$56:$F$346,6,0)&amp;""</f>
        <v/>
      </c>
      <c r="G37" s="255" t="s">
        <v>1531</v>
      </c>
      <c r="I37" s="42"/>
      <c r="J37" s="42"/>
    </row>
    <row r="38" spans="1:10" s="1" customFormat="1" ht="37.4" customHeight="1" thickBot="1" x14ac:dyDescent="0.3">
      <c r="A38" s="70" t="str">
        <f>VLOOKUP(LEFT($A39,4),'Auto Responses'!$N$4:$O$38,2,0)&amp;""</f>
        <v xml:space="preserve"> Data</v>
      </c>
      <c r="B38" s="29"/>
      <c r="C38" s="19" t="s">
        <v>1583</v>
      </c>
      <c r="D38" s="19" t="s">
        <v>72</v>
      </c>
      <c r="E38" s="38" t="s">
        <v>904</v>
      </c>
      <c r="F38" s="194" t="s">
        <v>905</v>
      </c>
      <c r="I38" s="42"/>
      <c r="J38" s="42"/>
    </row>
    <row r="39" spans="1:10" s="1" customFormat="1" ht="72" customHeight="1" x14ac:dyDescent="0.25">
      <c r="A39" s="25" t="s">
        <v>336</v>
      </c>
      <c r="B39" s="24" t="str">
        <f>VLOOKUP($A39,Questions!$A$2:$X$333,2,0)</f>
        <v>Will the institution's data be stored on any devices (database servers, file servers, SAN, NAS, etc.) configured with non-RFC 1918/4193 (i.e., publicly routable) IP addresses?*</v>
      </c>
      <c r="C39" s="27" t="s">
        <v>149</v>
      </c>
      <c r="D39" s="333"/>
      <c r="E39" s="174" t="str">
        <f>IF($C$18="No",'Auto Responses'!$A$3,IF($C39="Yes",VLOOKUP($A39,Questions!$A$2:$X$333,17,0)&amp;"",IF($C39="No",VLOOKUP($A39,Questions!$A$2:$X$333,16,0)&amp;"",VLOOKUP($A39,Questions!$A$2:$X$333,15,0)&amp;"")))</f>
        <v/>
      </c>
      <c r="F39" s="208" t="str">
        <f>VLOOKUP($A39,'Institution Evaluation'!$A$56:$F$346,6,0)&amp;""</f>
        <v/>
      </c>
      <c r="I39" s="42"/>
      <c r="J39" s="42"/>
    </row>
    <row r="40" spans="1:10" s="1" customFormat="1" ht="61.5" customHeight="1" x14ac:dyDescent="0.25">
      <c r="A40" s="25" t="s">
        <v>340</v>
      </c>
      <c r="B40" s="24" t="str">
        <f>VLOOKUP($A40,Questions!$A$2:$X$333,2,0)</f>
        <v>Is the transport of sensitive data encrypted using security protocols/algorithms (e.g., system-to-client)?*</v>
      </c>
      <c r="C40" s="27" t="s">
        <v>40</v>
      </c>
      <c r="D40" s="333" t="s">
        <v>1716</v>
      </c>
      <c r="E40" s="174" t="str">
        <f>IF($C$18="No",'Auto Responses'!$A$3,IF($C40="Yes",VLOOKUP($A40,Questions!$A$2:$X$333,17,0)&amp;"",IF($C40="No",VLOOKUP($A40,Questions!$A$2:$X$333,16,0)&amp;"",VLOOKUP($A40,Questions!$A$2:$X$333,15,0)&amp;"")))</f>
        <v>Summarize your transport encryption strategy.</v>
      </c>
      <c r="F40" s="208" t="str">
        <f>VLOOKUP($A40,'Institution Evaluation'!$A$56:$F$346,6,0)&amp;""</f>
        <v/>
      </c>
      <c r="I40" s="42"/>
      <c r="J40" s="42"/>
    </row>
    <row r="41" spans="1:10" s="1" customFormat="1" ht="52.5" customHeight="1" x14ac:dyDescent="0.25">
      <c r="A41" s="25" t="s">
        <v>343</v>
      </c>
      <c r="B41" s="24" t="str">
        <f>VLOOKUP($A41,Questions!$A$2:$X$333,2,0)</f>
        <v>Is the storage of sensitive data encrypted using security protocols/algorithms (e.g., disk encryption, at-rest, files, and within a running database)?*</v>
      </c>
      <c r="C41" s="27" t="s">
        <v>40</v>
      </c>
      <c r="D41" s="333" t="s">
        <v>1717</v>
      </c>
      <c r="E41" s="174" t="str">
        <f>IF($C$18="No",'Auto Responses'!$A$3,IF($C41="Yes",VLOOKUP($A41,Questions!$A$2:$X$333,17,0)&amp;"",IF($C41="No",VLOOKUP($A41,Questions!$A$2:$X$333,16,0)&amp;"",VLOOKUP($A41,Questions!$A$2:$X$333,15,0)&amp;"")))</f>
        <v>Summarize your data encryption strategy and state what encryption options are available.</v>
      </c>
      <c r="F41" s="208" t="str">
        <f>VLOOKUP($A41,'Institution Evaluation'!$A$56:$F$346,6,0)&amp;""</f>
        <v/>
      </c>
      <c r="I41" s="42"/>
      <c r="J41" s="42"/>
    </row>
    <row r="42" spans="1:10" s="1" customFormat="1" ht="51.75" customHeight="1" x14ac:dyDescent="0.25">
      <c r="A42" s="25" t="s">
        <v>347</v>
      </c>
      <c r="B42" s="24" t="str">
        <f>VLOOKUP($A42,Questions!$A$2:$X$333,2,0)</f>
        <v>Do all cryptographic modules in use in your solution conform to the Federal Information Processing Standards (FIPS PUB 140-2 or 140-3)?*</v>
      </c>
      <c r="C42" s="27" t="s">
        <v>149</v>
      </c>
      <c r="D42" s="333" t="s">
        <v>1718</v>
      </c>
      <c r="E42" s="174" t="str">
        <f>IF($C$18="No",'Auto Responses'!$A$3,IF($C42="Yes",VLOOKUP($A42,Questions!$A$2:$X$333,17,0)&amp;"",IF($C42="No",VLOOKUP($A42,Questions!$A$2:$X$333,16,0)&amp;"",VLOOKUP($A42,Questions!$A$2:$X$333,15,0)&amp;"")))</f>
        <v>Provide a detailed description of all non-conforming modules.</v>
      </c>
      <c r="F42" s="208" t="str">
        <f>VLOOKUP($A42,'Institution Evaluation'!$A$56:$F$346,6,0)&amp;""</f>
        <v/>
      </c>
      <c r="I42" s="42"/>
      <c r="J42" s="42"/>
    </row>
    <row r="43" spans="1:10" s="1" customFormat="1" ht="38.25" customHeight="1" x14ac:dyDescent="0.25">
      <c r="A43" s="25" t="s">
        <v>352</v>
      </c>
      <c r="B43" s="24" t="str">
        <f>VLOOKUP($A43,Questions!$A$2:$X$333,2,0)</f>
        <v>Will the institution's data be available within the system for a period of time at the completion of this contract?*</v>
      </c>
      <c r="C43" s="27" t="s">
        <v>40</v>
      </c>
      <c r="D43" s="333" t="s">
        <v>1719</v>
      </c>
      <c r="E43" s="174" t="str">
        <f>IF($C$18="No",'Auto Responses'!$A$3,IF($C43="Yes",VLOOKUP($A43,Questions!$A$2:$X$333,17,0)&amp;"",IF($C43="No",VLOOKUP($A43,Questions!$A$2:$X$333,16,0)&amp;"",VLOOKUP($A43,Questions!$A$2:$X$333,15,0)&amp;"")))</f>
        <v>State the length of time that the institution's data will be available in the system at the completion of the contract.</v>
      </c>
      <c r="F43" s="208" t="str">
        <f>VLOOKUP($A43,'Institution Evaluation'!$A$56:$F$346,6,0)&amp;""</f>
        <v/>
      </c>
      <c r="I43" s="42"/>
      <c r="J43" s="42"/>
    </row>
    <row r="44" spans="1:10" s="1" customFormat="1" ht="38.25" customHeight="1" x14ac:dyDescent="0.25">
      <c r="A44" s="25" t="s">
        <v>355</v>
      </c>
      <c r="B44" s="24" t="str">
        <f>VLOOKUP($A44,Questions!$A$2:$X$333,2,0)</f>
        <v>Are these rights retained even through a provider acquisition or bankruptcy event?*</v>
      </c>
      <c r="C44" s="27" t="s">
        <v>40</v>
      </c>
      <c r="D44" s="333" t="s">
        <v>1720</v>
      </c>
      <c r="E44" s="174" t="str">
        <f>IF($C$18="No",'Auto Responses'!$A$3,IF($C44="Yes",VLOOKUP($A44,Questions!$A$2:$X$333,17,0)&amp;"",IF($C44="No",VLOOKUP($A44,Questions!$A$2:$X$333,16,0)&amp;"",VLOOKUP($A44,Questions!$A$2:$X$333,15,0)&amp;"")))</f>
        <v>Provide references, as needed.</v>
      </c>
      <c r="F44" s="208" t="str">
        <f>VLOOKUP($A44,'Institution Evaluation'!$A$56:$F$346,6,0)&amp;""</f>
        <v/>
      </c>
      <c r="I44" s="42"/>
      <c r="J44" s="42"/>
    </row>
    <row r="45" spans="1:10" s="1" customFormat="1" ht="38.25" customHeight="1" x14ac:dyDescent="0.25">
      <c r="A45" s="25" t="s">
        <v>357</v>
      </c>
      <c r="B45" s="24" t="str">
        <f>VLOOKUP($A45,Questions!$A$2:$X$333,2,0)</f>
        <v>Do backups containing the institution's data ever leave the institution's data zone either physically or via network routing?*</v>
      </c>
      <c r="C45" s="27" t="s">
        <v>149</v>
      </c>
      <c r="D45" s="333" t="s">
        <v>1721</v>
      </c>
      <c r="E45" s="174" t="str">
        <f>IF($C$18="No",'Auto Responses'!$A$3,IF($C45="Yes",VLOOKUP($A45,Questions!$A$2:$X$333,17,0)&amp;"",IF($C45="No",VLOOKUP($A45,Questions!$A$2:$X$333,16,0)&amp;"",VLOOKUP($A45,Questions!$A$2:$X$333,15,0)&amp;"")))</f>
        <v/>
      </c>
      <c r="F45" s="208" t="str">
        <f>VLOOKUP($A45,'Institution Evaluation'!$A$56:$F$346,6,0)&amp;""</f>
        <v/>
      </c>
      <c r="I45" s="42"/>
      <c r="J45" s="42"/>
    </row>
    <row r="46" spans="1:10" s="1" customFormat="1" ht="38.25" customHeight="1" x14ac:dyDescent="0.25">
      <c r="A46" s="25" t="s">
        <v>359</v>
      </c>
      <c r="B46" s="24" t="str">
        <f>VLOOKUP($A46,Questions!$A$2:$X$333,2,0)</f>
        <v>Is media used for long-term retention of business data and archival purposes stored in a secure, environmentally protected area?*</v>
      </c>
      <c r="C46" s="27" t="s">
        <v>40</v>
      </c>
      <c r="D46" s="333" t="s">
        <v>1722</v>
      </c>
      <c r="E46" s="174" t="str">
        <f>IF($C$18="No",'Auto Responses'!$A$3,IF($C46="Yes",VLOOKUP($A46,Questions!$A$2:$X$333,17,0)&amp;"",IF($C46="No",VLOOKUP($A46,Questions!$A$2:$X$333,16,0)&amp;"",VLOOKUP($A46,Questions!$A$2:$X$333,15,0)&amp;"")))</f>
        <v>Provide a general summary of your archival environment.</v>
      </c>
      <c r="F46" s="208" t="str">
        <f>VLOOKUP($A46,'Institution Evaluation'!$A$56:$F$346,6,0)&amp;""</f>
        <v/>
      </c>
      <c r="I46" s="42"/>
      <c r="J46" s="42"/>
    </row>
    <row r="47" spans="1:10" s="1" customFormat="1" ht="48" customHeight="1" x14ac:dyDescent="0.25">
      <c r="A47" s="25" t="s">
        <v>363</v>
      </c>
      <c r="B47" s="24" t="str">
        <f>VLOOKUP($A47,Questions!$A$2:$X$333,2,0)</f>
        <v>At the completion of this contract, will data be returned to the institution and/or deleted from all your systems and archives?</v>
      </c>
      <c r="C47" s="27" t="s">
        <v>40</v>
      </c>
      <c r="D47" s="333" t="s">
        <v>1719</v>
      </c>
      <c r="E47" s="174" t="str">
        <f>IF($C$18="No",'Auto Responses'!$A$3,IF($C47="Yes",VLOOKUP($A47,Questions!$A$2:$X$333,17,0)&amp;"",IF($C47="No",VLOOKUP($A47,Questions!$A$2:$X$333,16,0)&amp;"",VLOOKUP($A47,Questions!$A$2:$X$333,15,0)&amp;"")))</f>
        <v>State the length of time that the institution's data will be available in the system at the completion of the contract.</v>
      </c>
      <c r="F47" s="208" t="str">
        <f>VLOOKUP($A47,'Institution Evaluation'!$A$56:$F$346,6,0)&amp;""</f>
        <v/>
      </c>
      <c r="I47" s="42"/>
      <c r="J47" s="42"/>
    </row>
    <row r="48" spans="1:10" s="1" customFormat="1" ht="38.25" customHeight="1" x14ac:dyDescent="0.25">
      <c r="A48" s="25" t="s">
        <v>367</v>
      </c>
      <c r="B48" s="24" t="str">
        <f>VLOOKUP($A48,Questions!$A$2:$X$333,2,0)</f>
        <v>Can the institution extract a full or partial backup of data?</v>
      </c>
      <c r="C48" s="27" t="s">
        <v>40</v>
      </c>
      <c r="D48" s="333" t="s">
        <v>1723</v>
      </c>
      <c r="E48" s="174" t="str">
        <f>IF($C$18="No",'Auto Responses'!$A$3,IF($C48="Yes",VLOOKUP($A48,Questions!$A$2:$X$333,17,0)&amp;"",IF($C48="No",VLOOKUP($A48,Questions!$A$2:$X$333,16,0)&amp;"",VLOOKUP($A48,Questions!$A$2:$X$333,15,0)&amp;"")))</f>
        <v>Provide a general summary of how full and partial backups of data can be extracted.</v>
      </c>
      <c r="F48" s="208" t="str">
        <f>VLOOKUP($A48,'Institution Evaluation'!$A$56:$F$346,6,0)&amp;""</f>
        <v/>
      </c>
      <c r="I48" s="42"/>
      <c r="J48" s="42"/>
    </row>
    <row r="49" spans="1:10" s="1" customFormat="1" ht="54" customHeight="1" x14ac:dyDescent="0.25">
      <c r="A49" s="25" t="s">
        <v>371</v>
      </c>
      <c r="B49" s="24" t="str">
        <f>VLOOKUP($A49,Questions!$A$2:$X$333,2,0)</f>
        <v>Do current backups include all operating system software, utilities, security software, application software, and data files necessary for recovery?</v>
      </c>
      <c r="C49" s="27" t="s">
        <v>40</v>
      </c>
      <c r="D49" s="333" t="s">
        <v>1724</v>
      </c>
      <c r="E49" s="174" t="str">
        <f>IF($C$18="No",'Auto Responses'!$A$3,IF($C49="Yes",VLOOKUP($A49,Questions!$A$2:$X$333,17,0)&amp;"",IF($C49="No",VLOOKUP($A49,Questions!$A$2:$X$333,16,0)&amp;"",VLOOKUP($A49,Questions!$A$2:$X$333,15,0)&amp;"")))</f>
        <v>Decribe your overall strategy to accomplish these elements.</v>
      </c>
      <c r="F49" s="208" t="str">
        <f>VLOOKUP($A49,'Institution Evaluation'!$A$56:$F$346,6,0)&amp;""</f>
        <v/>
      </c>
      <c r="I49" s="42"/>
      <c r="J49" s="42"/>
    </row>
    <row r="50" spans="1:10" s="1" customFormat="1" ht="53.25" customHeight="1" x14ac:dyDescent="0.25">
      <c r="A50" s="25" t="s">
        <v>375</v>
      </c>
      <c r="B50" s="24" t="str">
        <f>VLOOKUP($A50,Questions!$A$2:$X$333,2,0)</f>
        <v>Are you performing off-site backups (i.e., digitally moved off site)?</v>
      </c>
      <c r="C50" s="27" t="s">
        <v>40</v>
      </c>
      <c r="D50" s="333" t="s">
        <v>1725</v>
      </c>
      <c r="E50" s="174" t="str">
        <f>IF($C$18="No",'Auto Responses'!$A$3,IF($C50="Yes",VLOOKUP($A50,Questions!$A$2:$X$333,17,0)&amp;"",IF($C50="No",VLOOKUP($A50,Questions!$A$2:$X$333,16,0)&amp;"",VLOOKUP($A50,Questions!$A$2:$X$333,15,0)&amp;"")))</f>
        <v>Summarize your off-site backup strategy.</v>
      </c>
      <c r="F50" s="208" t="str">
        <f>VLOOKUP($A50,'Institution Evaluation'!$A$56:$F$346,6,0)&amp;""</f>
        <v/>
      </c>
      <c r="I50" s="42"/>
      <c r="J50" s="42"/>
    </row>
    <row r="51" spans="1:10" s="1" customFormat="1" ht="51.75" customHeight="1" x14ac:dyDescent="0.25">
      <c r="A51" s="25" t="s">
        <v>381</v>
      </c>
      <c r="B51" s="24" t="str">
        <f>VLOOKUP($A51,Questions!$A$2:$X$333,2,0)</f>
        <v>Are physical backups taken off-site (i.e., physically moved off site)?</v>
      </c>
      <c r="C51" s="27" t="s">
        <v>40</v>
      </c>
      <c r="D51" s="333" t="s">
        <v>1826</v>
      </c>
      <c r="E51" s="174" t="str">
        <f>IF($C$18="No",'Auto Responses'!$A$3,IF($C51="Yes",VLOOKUP($A51,Questions!$A$2:$X$333,17,0)&amp;"",IF($C51="No",VLOOKUP($A51,Questions!$A$2:$X$333,16,0)&amp;"",VLOOKUP($A51,Questions!$A$2:$X$333,15,0)&amp;"")))</f>
        <v>Provide the distance (in miles) between the primary and off-site locations.</v>
      </c>
      <c r="F51" s="208" t="str">
        <f>VLOOKUP($A51,'Institution Evaluation'!$A$56:$F$346,6,0)&amp;""</f>
        <v/>
      </c>
      <c r="I51" s="42"/>
      <c r="J51" s="42"/>
    </row>
    <row r="52" spans="1:10" s="1" customFormat="1" ht="75.75" customHeight="1" x14ac:dyDescent="0.25">
      <c r="A52" s="25" t="s">
        <v>386</v>
      </c>
      <c r="B52" s="24" t="str">
        <f>VLOOKUP($A52,Questions!$A$2:$X$333,2,0)</f>
        <v>Are data backups encrypted?</v>
      </c>
      <c r="C52" s="27" t="s">
        <v>40</v>
      </c>
      <c r="D52" s="333" t="s">
        <v>1726</v>
      </c>
      <c r="E52" s="174" t="str">
        <f>IF($C$18="No",'Auto Responses'!$A$3,IF($C52="Yes",VLOOKUP($A52,Questions!$A$2:$X$333,17,0)&amp;"",IF($C52="No",VLOOKUP($A52,Questions!$A$2:$X$333,16,0)&amp;"",VLOOKUP($A52,Questions!$A$2:$X$333,15,0)&amp;"")))</f>
        <v>Summarize the encryption algorithm/strategy you are using to secure backups.</v>
      </c>
      <c r="F52" s="208" t="str">
        <f>VLOOKUP($A52,'Institution Evaluation'!$A$56:$F$346,6,0)&amp;""</f>
        <v/>
      </c>
      <c r="I52" s="42"/>
      <c r="J52" s="42"/>
    </row>
    <row r="53" spans="1:10" s="1" customFormat="1" ht="66" customHeight="1" x14ac:dyDescent="0.25">
      <c r="A53" s="25" t="s">
        <v>387</v>
      </c>
      <c r="B53" s="24" t="str">
        <f>VLOOKUP($A53,Questions!$A$2:$X$333,2,0)</f>
        <v>Do you have a media handling process that is documented and currently implemented that meets established business needs and regulatory requirements, including end-of-life, repurposing, and data-sanitization procedures?</v>
      </c>
      <c r="C53" s="27" t="s">
        <v>40</v>
      </c>
      <c r="D53" s="333" t="s">
        <v>1727</v>
      </c>
      <c r="E53" s="174" t="str">
        <f>IF($C$18="No",'Auto Responses'!$A$3,IF($C53="Yes",VLOOKUP($A53,Questions!$A$2:$X$333,17,0)&amp;"",IF($C53="No",VLOOKUP($A53,Questions!$A$2:$X$333,16,0)&amp;"",VLOOKUP($A53,Questions!$A$2:$X$333,15,0)&amp;"")))</f>
        <v>Provide documented details of this process (link or attached).</v>
      </c>
      <c r="F53" s="208" t="str">
        <f>VLOOKUP($A53,'Institution Evaluation'!$A$56:$F$346,6,0)&amp;""</f>
        <v/>
      </c>
      <c r="I53" s="42"/>
      <c r="J53" s="42"/>
    </row>
    <row r="54" spans="1:10" s="1" customFormat="1" ht="44.25" customHeight="1" x14ac:dyDescent="0.25">
      <c r="A54" s="25" t="s">
        <v>389</v>
      </c>
      <c r="B54" s="24" t="str">
        <f>VLOOKUP($A54,Questions!$A$2:$X$333,2,0)</f>
        <v>Does the process described in DATA-15 adhere to DoD 5220.22-M and/or NIST SP 800-88 standards?</v>
      </c>
      <c r="C54" s="27" t="s">
        <v>40</v>
      </c>
      <c r="D54" s="333" t="s">
        <v>1728</v>
      </c>
      <c r="E54" s="174" t="str">
        <f>IF($C$18="No",'Auto Responses'!$A$3,IF($C54="Yes",VLOOKUP($A54,Questions!$A$2:$X$333,17,0)&amp;"",IF($C54="No",VLOOKUP($A54,Questions!$A$2:$X$333,16,0)&amp;"",VLOOKUP($A54,Questions!$A$2:$X$333,15,0)&amp;"")))</f>
        <v/>
      </c>
      <c r="F54" s="208" t="str">
        <f>VLOOKUP($A54,'Institution Evaluation'!$A$56:$F$346,6,0)&amp;""</f>
        <v/>
      </c>
      <c r="I54" s="42"/>
      <c r="J54" s="42"/>
    </row>
    <row r="55" spans="1:10" s="1" customFormat="1" ht="46.5" customHeight="1" x14ac:dyDescent="0.25">
      <c r="A55" s="25" t="s">
        <v>393</v>
      </c>
      <c r="B55" s="24" t="str">
        <f>VLOOKUP($A55,Questions!$A$2:$X$333,2,0)</f>
        <v>Does your staff (or third party) have access to institutional data (e.g., financial, PHI, or other sensitive information) through any means?</v>
      </c>
      <c r="C55" s="27" t="s">
        <v>40</v>
      </c>
      <c r="D55" s="333" t="s">
        <v>1729</v>
      </c>
      <c r="E55" s="174" t="str">
        <f>IF($C$18="No",'Auto Responses'!$A$3,IF($C55="Yes",VLOOKUP($A55,Questions!$A$2:$X$333,17,0)&amp;"",IF($C55="No",VLOOKUP($A55,Questions!$A$2:$X$333,16,0)&amp;"",VLOOKUP($A55,Questions!$A$2:$X$333,15,0)&amp;"")))</f>
        <v>Summarize what access staff (or third parties) have to institutional data.</v>
      </c>
      <c r="F55" s="208" t="str">
        <f>VLOOKUP($A55,'Institution Evaluation'!$A$56:$F$346,6,0)&amp;""</f>
        <v/>
      </c>
      <c r="I55" s="42"/>
      <c r="J55" s="42"/>
    </row>
    <row r="56" spans="1:10" s="1" customFormat="1" ht="67.5" customHeight="1" x14ac:dyDescent="0.25">
      <c r="A56" s="25" t="s">
        <v>399</v>
      </c>
      <c r="B56" s="24" t="str">
        <f>VLOOKUP($A56,Questions!$A$2:$X$333,2,0)</f>
        <v>Do you have a documented and currently implemented strategy for securing employee workstations when they work remotely (i.e., not in a trusted computing environment)?</v>
      </c>
      <c r="C56" s="27" t="s">
        <v>40</v>
      </c>
      <c r="D56" s="333" t="s">
        <v>1730</v>
      </c>
      <c r="E56" s="174" t="str">
        <f>IF($C$18="No",'Auto Responses'!$A$3,IF($C56="Yes",VLOOKUP($A56,Questions!$A$2:$X$333,17,0)&amp;"",IF($C56="No",VLOOKUP($A56,Questions!$A$2:$X$333,16,0)&amp;"",VLOOKUP($A56,Questions!$A$2:$X$333,15,0)&amp;"")))</f>
        <v>Provide a detailed summary outlining the security controls implemented to protect the institution's data.</v>
      </c>
      <c r="F56" s="208" t="str">
        <f>VLOOKUP($A56,'Institution Evaluation'!$A$56:$F$346,6,0)&amp;""</f>
        <v/>
      </c>
      <c r="I56" s="42"/>
      <c r="J56" s="42"/>
    </row>
    <row r="57" spans="1:10" s="1" customFormat="1" ht="68.25" customHeight="1" x14ac:dyDescent="0.25">
      <c r="A57" s="25" t="s">
        <v>401</v>
      </c>
      <c r="B57" s="24" t="str">
        <f>VLOOKUP($A57,Questions!$A$2:$X$333,2,0)</f>
        <v>Does the environment provide for dedicated single-tenant capabilities? If not, describe how your solution or environment separates data from different customers (e.g., logically, physically, single tenancy, multi-tenancy).</v>
      </c>
      <c r="C57" s="27" t="s">
        <v>149</v>
      </c>
      <c r="D57" s="333" t="s">
        <v>1731</v>
      </c>
      <c r="E57" s="174" t="str">
        <f>IF($C$18="No",'Auto Responses'!$A$3,IF($C57="Yes",VLOOKUP($A57,Questions!$A$2:$X$333,17,0)&amp;"",IF($C57="No",VLOOKUP($A57,Questions!$A$2:$X$333,16,0)&amp;"",VLOOKUP($A57,Questions!$A$2:$X$333,15,0)&amp;"")))</f>
        <v>Describe your plan to separate institution data from that of other customers.</v>
      </c>
      <c r="F57" s="208" t="str">
        <f>VLOOKUP($A57,'Institution Evaluation'!$A$56:$F$346,6,0)&amp;""</f>
        <v/>
      </c>
      <c r="I57" s="42"/>
      <c r="J57" s="42"/>
    </row>
    <row r="58" spans="1:10" s="1" customFormat="1" ht="55.5" customHeight="1" x14ac:dyDescent="0.25">
      <c r="A58" s="25" t="s">
        <v>406</v>
      </c>
      <c r="B58" s="24" t="str">
        <f>VLOOKUP($A58,Questions!$A$2:$X$333,2,0)</f>
        <v>Are ownership rights to all data, inputs, outputs, and metadata retained by the institution?</v>
      </c>
      <c r="C58" s="27" t="s">
        <v>40</v>
      </c>
      <c r="D58" s="333" t="s">
        <v>1732</v>
      </c>
      <c r="E58" s="174" t="str">
        <f>IF($C$18="No",'Auto Responses'!$A$3,IF($C58="Yes",VLOOKUP($A58,Questions!$A$2:$X$333,17,0)&amp;"",IF($C58="No",VLOOKUP($A58,Questions!$A$2:$X$333,16,0)&amp;"",VLOOKUP($A58,Questions!$A$2:$X$333,15,0)&amp;"")))</f>
        <v>Provide reference to your data ownership documention.</v>
      </c>
      <c r="F58" s="208" t="str">
        <f>VLOOKUP($A58,'Institution Evaluation'!$A$56:$F$346,6,0)&amp;""</f>
        <v/>
      </c>
      <c r="I58" s="42"/>
      <c r="J58" s="42"/>
    </row>
    <row r="59" spans="1:10" s="1" customFormat="1" ht="45.75" customHeight="1" x14ac:dyDescent="0.25">
      <c r="A59" s="25" t="s">
        <v>409</v>
      </c>
      <c r="B59" s="24" t="str">
        <f>VLOOKUP($A59,Questions!$A$2:$X$333,2,0)</f>
        <v>In the event of imminent bankruptcy, closing of business, or retirement of service, will you provide 90 days for customers to get their data out of the system and migrate applications?</v>
      </c>
      <c r="C59" s="27" t="s">
        <v>149</v>
      </c>
      <c r="D59" s="333" t="s">
        <v>1733</v>
      </c>
      <c r="E59" s="174" t="str">
        <f>IF($C$18="No",'Auto Responses'!$A$3,IF($C59="Yes",VLOOKUP($A59,Questions!$A$2:$X$333,17,0)&amp;"",IF($C59="No",VLOOKUP($A59,Questions!$A$2:$X$333,16,0)&amp;"",VLOOKUP($A59,Questions!$A$2:$X$333,15,0)&amp;"")))</f>
        <v>Provide a detailed summary to support your selection.</v>
      </c>
      <c r="F59" s="208" t="str">
        <f>VLOOKUP($A59,'Institution Evaluation'!$A$56:$F$346,6,0)&amp;""</f>
        <v/>
      </c>
      <c r="I59" s="42"/>
      <c r="J59" s="42"/>
    </row>
    <row r="60" spans="1:10" s="1" customFormat="1" ht="54" customHeight="1" x14ac:dyDescent="0.25">
      <c r="A60" s="25" t="s">
        <v>412</v>
      </c>
      <c r="B60" s="24" t="str">
        <f>VLOOKUP($A60,Questions!$A$2:$X$333,2,0)</f>
        <v>Are involatile backup copies made according to predefined schedules and securely stored and protected?</v>
      </c>
      <c r="C60" s="27" t="s">
        <v>40</v>
      </c>
      <c r="D60" s="333" t="s">
        <v>1734</v>
      </c>
      <c r="E60" s="174" t="str">
        <f>IF($C$18="No",'Auto Responses'!$A$3,IF($C60="Yes",VLOOKUP($A60,Questions!$A$2:$X$333,17,0)&amp;"",IF($C60="No",VLOOKUP($A60,Questions!$A$2:$X$333,16,0)&amp;"",VLOOKUP($A60,Questions!$A$2:$X$333,15,0)&amp;"")))</f>
        <v>If your strategy uses different processes for services and data, ensure that all strategies are clearly stated and supported.</v>
      </c>
      <c r="F60" s="208" t="str">
        <f>VLOOKUP($A60,'Institution Evaluation'!$A$56:$F$346,6,0)&amp;""</f>
        <v/>
      </c>
      <c r="I60" s="42"/>
      <c r="J60" s="42"/>
    </row>
    <row r="61" spans="1:10" s="1" customFormat="1" ht="76.5" customHeight="1" x14ac:dyDescent="0.25">
      <c r="A61" s="25" t="s">
        <v>416</v>
      </c>
      <c r="B61" s="24" t="str">
        <f>VLOOKUP($A61,Questions!$A$2:$X$333,2,0)</f>
        <v>Do you have a cryptographic key management process (generation, exchange, storage, safeguards, use, vetting, and replacement) that is documented and currently implemented, for all system components (e.g., database, system, web, etc.)?</v>
      </c>
      <c r="C61" s="27" t="s">
        <v>40</v>
      </c>
      <c r="D61" s="333" t="s">
        <v>1735</v>
      </c>
      <c r="E61" s="174" t="str">
        <f>IF($C$18="No",'Auto Responses'!$A$3,IF($C61="Yes",VLOOKUP($A61,Questions!$A$2:$X$333,17,0)&amp;"",IF($C61="No",VLOOKUP($A61,Questions!$A$2:$X$333,16,0)&amp;"",VLOOKUP($A61,Questions!$A$2:$X$333,15,0)&amp;"")))</f>
        <v/>
      </c>
      <c r="F61" s="208" t="str">
        <f>VLOOKUP($A61,'Institution Evaluation'!$A$56:$F$346,6,0)&amp;""</f>
        <v/>
      </c>
      <c r="G61" s="255" t="s">
        <v>1531</v>
      </c>
      <c r="I61" s="42"/>
      <c r="J61" s="42"/>
    </row>
    <row r="62" spans="1:10" s="178" customFormat="1" ht="36.75" customHeight="1" x14ac:dyDescent="0.25">
      <c r="A62" s="285" t="s">
        <v>1593</v>
      </c>
      <c r="B62" s="271"/>
      <c r="C62" s="272"/>
      <c r="D62" s="334"/>
      <c r="E62" s="274"/>
      <c r="F62" s="275"/>
      <c r="G62" s="276"/>
      <c r="I62" s="179"/>
      <c r="J62" s="179"/>
    </row>
    <row r="63" spans="1:10" s="1" customFormat="1" ht="15" customHeight="1" x14ac:dyDescent="0.25">
      <c r="A63" s="284"/>
      <c r="C63" s="14"/>
      <c r="D63" s="15"/>
      <c r="E63" s="16"/>
      <c r="I63" s="42"/>
      <c r="J63" s="42"/>
    </row>
    <row r="64" spans="1:10" s="1" customFormat="1" ht="15" hidden="1" customHeight="1" x14ac:dyDescent="0.25">
      <c r="A64"/>
      <c r="C64" s="14"/>
      <c r="D64" s="15"/>
      <c r="E64" s="16"/>
      <c r="I64" s="42"/>
      <c r="J64" s="42"/>
    </row>
    <row r="65" spans="1:12" ht="15" hidden="1" customHeight="1" x14ac:dyDescent="0.25">
      <c r="A65" s="1"/>
      <c r="B65" s="14"/>
      <c r="C65" s="78"/>
      <c r="D65" s="16"/>
      <c r="E65" s="1"/>
      <c r="H65" s="42"/>
      <c r="I65" s="1"/>
      <c r="J65" s="1"/>
      <c r="L65"/>
    </row>
    <row r="66" spans="1:12" ht="57" hidden="1" customHeight="1" x14ac:dyDescent="0.25">
      <c r="A66" s="25" t="e">
        <f>#REF!</f>
        <v>#REF!</v>
      </c>
    </row>
    <row r="67" spans="1:12" ht="42.75" hidden="1" customHeight="1" x14ac:dyDescent="0.25">
      <c r="A67" s="25" t="e">
        <f>#REF!</f>
        <v>#REF!</v>
      </c>
    </row>
    <row r="68" spans="1:12" ht="15" hidden="1" customHeight="1" x14ac:dyDescent="0.25">
      <c r="A68" s="25" t="e">
        <f>#REF!</f>
        <v>#REF!</v>
      </c>
    </row>
    <row r="69" spans="1:12" ht="15" hidden="1" customHeight="1" x14ac:dyDescent="0.25">
      <c r="A69" s="25" t="e">
        <f>#REF!</f>
        <v>#REF!</v>
      </c>
    </row>
    <row r="70" spans="1:12" ht="15" hidden="1" customHeight="1" x14ac:dyDescent="0.25">
      <c r="A70" s="25" t="e">
        <f>#REF!</f>
        <v>#REF!</v>
      </c>
    </row>
    <row r="71" spans="1:12" ht="15" hidden="1" customHeight="1" x14ac:dyDescent="0.25">
      <c r="A71" s="25" t="e">
        <f>#REF!</f>
        <v>#REF!</v>
      </c>
    </row>
    <row r="72" spans="1:12" ht="15" hidden="1" customHeight="1" x14ac:dyDescent="0.25">
      <c r="A72" s="25" t="e">
        <f>#REF!</f>
        <v>#REF!</v>
      </c>
    </row>
    <row r="73" spans="1:12" ht="15" hidden="1" customHeight="1" x14ac:dyDescent="0.25"/>
    <row r="74" spans="1:12" ht="15" hidden="1" customHeight="1" x14ac:dyDescent="0.25"/>
    <row r="75" spans="1:12" ht="15" hidden="1" customHeight="1" x14ac:dyDescent="0.25"/>
    <row r="76" spans="1:12" ht="15" hidden="1" customHeight="1" x14ac:dyDescent="0.25"/>
    <row r="77" spans="1:12" ht="15" hidden="1" customHeight="1" x14ac:dyDescent="0.25"/>
    <row r="78" spans="1:12" ht="15" hidden="1" customHeight="1" x14ac:dyDescent="0.25"/>
    <row r="79" spans="1:12" ht="15" hidden="1" customHeight="1" x14ac:dyDescent="0.25"/>
    <row r="80" spans="1:1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sheetData>
  <dataValidations count="2">
    <dataValidation allowBlank="1" showInputMessage="1" showErrorMessage="1" promptTitle="Warning!" prompt="The HECVAT is built using a number of complex formulas. Editing this cell can break the functionality of the tool. " sqref="C4:C12 A3:A62 C17:D17 C19:D19 C38:D38 D2:F16 C2 B1:B62 A1 E17:F61" xr:uid="{64E30B2D-E049-453B-8CAE-97B86F3413F2}"/>
    <dataValidation allowBlank="1" showInputMessage="1" showErrorMessage="1" prompt="This answer has been populated from the &quot;START HERE&quot; tab and does not need to be re-entered." sqref="C3 C13:C16 C18" xr:uid="{6D8F93AD-047A-4C29-8748-47EEDCFF053B}"/>
  </dataValidations>
  <hyperlinks>
    <hyperlink ref="A11" r:id="rId1" display="http://www.educause.edu/HECVAT" xr:uid="{6D5A27A0-CF84-4C62-B544-96085F34325A}"/>
  </hyperlinks>
  <pageMargins left="0.75" right="0.75" top="1" bottom="1" header="0.5" footer="0.5"/>
  <pageSetup orientation="landscape" r:id="rId2"/>
  <headerFooter>
    <oddFooter>&amp;L&amp;"Helvetica,Regular"&amp;12&amp;K000000	&amp;P</oddFooter>
  </headerFooter>
  <ignoredErrors>
    <ignoredError sqref="E36"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093D72B-46CA-40A8-B0D5-8700FB88AD9A}">
          <x14:formula1>
            <xm:f>'Auto Responses'!$J$3:$J$4</xm:f>
          </x14:formula1>
          <xm:sqref>C30:C37 C39:C62 C20:C28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DFC9E-3000-4DB3-8715-E42EDA42AE0D}">
  <sheetPr>
    <tabColor rgb="FF00636C"/>
  </sheetPr>
  <dimension ref="A1:L84"/>
  <sheetViews>
    <sheetView showGridLines="0" showZeros="0" topLeftCell="A69" zoomScale="80" zoomScaleNormal="80" workbookViewId="0">
      <selection activeCell="D73" sqref="C69:D74"/>
    </sheetView>
  </sheetViews>
  <sheetFormatPr defaultColWidth="0" defaultRowHeight="0" customHeight="1" zeroHeight="1" x14ac:dyDescent="0.25"/>
  <cols>
    <col min="1" max="1" width="8.265625" style="30" customWidth="1"/>
    <col min="2" max="2" width="55.06640625" style="1" customWidth="1"/>
    <col min="3" max="3" width="18.86328125" style="14" customWidth="1"/>
    <col min="4" max="4" width="55.6640625" style="15" customWidth="1"/>
    <col min="5" max="5" width="32" style="16" customWidth="1"/>
    <col min="6" max="6" width="30.6640625" style="1" customWidth="1"/>
    <col min="7" max="7" width="18.06640625" style="1" customWidth="1"/>
    <col min="8" max="8" width="18.06640625" style="1" hidden="1" customWidth="1"/>
    <col min="9" max="10" width="18.06640625" style="42" hidden="1" customWidth="1"/>
    <col min="11" max="11" width="4.46484375" style="1" hidden="1" customWidth="1"/>
    <col min="12" max="12" width="6.59765625" style="1" hidden="1" customWidth="1"/>
    <col min="13" max="16384" width="6.59765625" style="30" hidden="1"/>
  </cols>
  <sheetData>
    <row r="1" spans="1:12" ht="0" hidden="1" customHeight="1" x14ac:dyDescent="0.25">
      <c r="A1" s="30" t="s">
        <v>1530</v>
      </c>
    </row>
    <row r="2" spans="1:12" customFormat="1" ht="36" customHeight="1" x14ac:dyDescent="0.25">
      <c r="A2" s="175" t="s">
        <v>1454</v>
      </c>
      <c r="B2" s="175"/>
      <c r="C2" s="176"/>
      <c r="D2" s="328"/>
      <c r="E2" s="177"/>
      <c r="F2" s="177" t="str">
        <f>'Auto Responses'!$A$36</f>
        <v>Version 4.1.0</v>
      </c>
      <c r="G2" s="1"/>
      <c r="H2" s="1"/>
      <c r="I2" s="42"/>
      <c r="J2" s="1"/>
      <c r="K2" s="1"/>
      <c r="L2" s="1"/>
    </row>
    <row r="3" spans="1:12" s="1" customFormat="1" ht="29.15" customHeight="1" x14ac:dyDescent="0.25">
      <c r="A3" s="44" t="s">
        <v>996</v>
      </c>
      <c r="B3" s="45"/>
      <c r="C3" s="73">
        <f>'START HERE'!$C$3</f>
        <v>45894</v>
      </c>
      <c r="D3" s="329"/>
      <c r="E3" s="43"/>
      <c r="F3" s="57"/>
      <c r="I3" s="42"/>
    </row>
    <row r="4" spans="1:12" s="1" customFormat="1" ht="36" customHeight="1" x14ac:dyDescent="0.25">
      <c r="A4" s="17" t="s">
        <v>921</v>
      </c>
      <c r="B4" s="18"/>
      <c r="C4" s="19"/>
      <c r="D4" s="20"/>
      <c r="E4" s="21"/>
      <c r="F4" s="21"/>
      <c r="I4" s="42"/>
    </row>
    <row r="5" spans="1:12" s="1" customFormat="1" ht="19.5" customHeight="1" x14ac:dyDescent="0.25">
      <c r="A5" s="49" t="str">
        <f>HLOOKUP($A$4,'Auto Responses'!$D$2:$D$8,2,0)&amp;""</f>
        <v>1. Complete the "Start Here" tab and review the "Required Questions" guidance to find the other sections are required for your product or service.</v>
      </c>
      <c r="B5" s="22"/>
      <c r="C5" s="74"/>
      <c r="D5" s="330"/>
      <c r="E5" s="22"/>
      <c r="F5" s="279"/>
      <c r="I5" s="42"/>
    </row>
    <row r="6" spans="1:12" s="1" customFormat="1" ht="19.5" customHeight="1" x14ac:dyDescent="0.25">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12" s="1" customFormat="1" ht="19.5" customHeight="1" x14ac:dyDescent="0.25">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12" s="1" customFormat="1" ht="19.5" customHeight="1" x14ac:dyDescent="0.25">
      <c r="A8" s="49" t="str">
        <f>HLOOKUP($A$4,'Auto Responses'!$D$2:$D$8,5,0)&amp;""</f>
        <v>4. DO NOT complete any fields in the "Evaluation" sheets or the "Analyst Notes" column.</v>
      </c>
      <c r="B8" s="22"/>
      <c r="C8" s="74"/>
      <c r="D8" s="330"/>
      <c r="E8" s="22"/>
      <c r="F8" s="280"/>
      <c r="I8" s="42"/>
    </row>
    <row r="9" spans="1:12" s="1" customFormat="1" ht="19.5" customHeight="1" x14ac:dyDescent="0.25">
      <c r="A9" s="49" t="str">
        <f>HLOOKUP($A$4,'Auto Responses'!$D$2:$D$8,6,0)&amp;""</f>
        <v>5. Return the completed file to institutions.</v>
      </c>
      <c r="B9" s="22"/>
      <c r="C9" s="74"/>
      <c r="D9" s="330"/>
      <c r="E9" s="22"/>
      <c r="F9" s="280"/>
      <c r="I9" s="42"/>
    </row>
    <row r="10" spans="1:12" s="1" customFormat="1" ht="19.5" customHeight="1" x14ac:dyDescent="0.25">
      <c r="A10" s="265" t="str">
        <f>HLOOKUP($A$4,'Auto Responses'!$D$2:$D$8,7,0)&amp;""</f>
        <v>* Denotes critical questions. Critical questions are those deemed most important to institutions by higher education volunteers.</v>
      </c>
      <c r="B10" s="22"/>
      <c r="C10" s="74"/>
      <c r="D10" s="330"/>
      <c r="E10" s="22"/>
      <c r="F10" s="280"/>
      <c r="I10" s="42"/>
    </row>
    <row r="11" spans="1:12" s="1" customFormat="1" ht="19.5" customHeight="1" x14ac:dyDescent="0.25">
      <c r="A11" s="264" t="str">
        <f>HLOOKUP($A$4,'Auto Responses'!$D$2:$D$9,8,0)&amp;""</f>
        <v>For full instructions, please visit educause.edu/HECVAT</v>
      </c>
      <c r="B11" s="22"/>
      <c r="C11" s="74"/>
      <c r="D11" s="330"/>
      <c r="E11" s="22"/>
      <c r="F11" s="281"/>
      <c r="I11" s="42"/>
    </row>
    <row r="12" spans="1:12" s="1" customFormat="1" ht="36" customHeight="1" x14ac:dyDescent="0.25">
      <c r="A12" s="70" t="str">
        <f>VLOOKUP(LEFT($A13,4),'Auto Responses'!$N$4:$O$38,2,0)&amp;""</f>
        <v xml:space="preserve"> General Information</v>
      </c>
      <c r="B12" s="18"/>
      <c r="C12" s="19" t="s">
        <v>1583</v>
      </c>
      <c r="D12" s="331"/>
      <c r="E12" s="23"/>
      <c r="F12" s="23"/>
      <c r="I12" s="42"/>
      <c r="J12" s="42"/>
    </row>
    <row r="13" spans="1:12" s="1" customFormat="1" ht="22.4" customHeight="1" x14ac:dyDescent="0.25">
      <c r="A13" s="25" t="s">
        <v>21</v>
      </c>
      <c r="B13" s="26" t="str">
        <f>VLOOKUP($A13,Questions!$A$2:$X$333,2,0)&amp;""</f>
        <v>Solution Provider Name</v>
      </c>
      <c r="C13" s="83" t="str">
        <f>VLOOKUP($A13,'START HERE'!$A$13:$C$21,3,0)&amp;""</f>
        <v xml:space="preserve">Cirrus Identity </v>
      </c>
      <c r="D13" s="39"/>
      <c r="E13" s="39"/>
      <c r="F13" s="57"/>
      <c r="I13" s="42"/>
      <c r="J13" s="42"/>
    </row>
    <row r="14" spans="1:12" s="1" customFormat="1" ht="22.4" customHeight="1" x14ac:dyDescent="0.25">
      <c r="A14" s="25" t="s">
        <v>24</v>
      </c>
      <c r="B14" s="26" t="str">
        <f>VLOOKUP($A14,Questions!$A$2:$X$333,2,0)&amp;""</f>
        <v>Solution Name</v>
      </c>
      <c r="C14" s="83" t="str">
        <f>VLOOKUP($A14,'START HERE'!$A$13:$C$21,3,0)&amp;""</f>
        <v>Cirrus Identity Gateway, Cirrus Identity Proxy, Cirrus Identity Bridge, Cirrus Identity Attribute Authority, Cirrus Identity Invitation, Cirrus Identity Account Linking, Cirrus Identity OrgBrandedID, and Cirrus Identity MFA -- Collective referred to as Cirrus Identity Products</v>
      </c>
      <c r="D14" s="39"/>
      <c r="E14" s="39"/>
      <c r="F14" s="57"/>
      <c r="I14" s="42"/>
      <c r="J14" s="42"/>
    </row>
    <row r="15" spans="1:12" s="1" customFormat="1" ht="22.4" customHeight="1" x14ac:dyDescent="0.25">
      <c r="A15" s="25" t="s">
        <v>25</v>
      </c>
      <c r="B15" s="26" t="str">
        <f>VLOOKUP($A15,Questions!$A$2:$X$333,2,0)&amp;""</f>
        <v>Solution Description</v>
      </c>
      <c r="C15" s="83" t="str">
        <f>VLOOKUP($A15,'START HERE'!$A$13:$C$21,3,0)&amp;""</f>
        <v>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v>
      </c>
      <c r="D15" s="39"/>
      <c r="E15" s="39"/>
      <c r="F15" s="57"/>
      <c r="I15" s="42"/>
      <c r="J15" s="42"/>
    </row>
    <row r="16" spans="1:12" s="1" customFormat="1" ht="22.4" customHeight="1" thickBot="1" x14ac:dyDescent="0.3">
      <c r="A16" s="25" t="s">
        <v>30</v>
      </c>
      <c r="B16" s="26" t="str">
        <f>VLOOKUP($A16,Questions!$A$2:$X$333,2,0)&amp;""</f>
        <v>Country of Company Headquarters</v>
      </c>
      <c r="C16" s="83" t="str">
        <f>VLOOKUP($A16,'START HERE'!$A$13:$C$21,3,0)&amp;""</f>
        <v>United States</v>
      </c>
      <c r="D16" s="39"/>
      <c r="E16" s="39"/>
      <c r="F16" s="57"/>
      <c r="I16" s="42"/>
      <c r="J16" s="42"/>
    </row>
    <row r="17" spans="1:10" s="1" customFormat="1" ht="37.4" customHeight="1" thickBot="1" x14ac:dyDescent="0.3">
      <c r="A17" s="70" t="str">
        <f>VLOOKUP(LEFT($A18,4),'Auto Responses'!$N$4:$O$38,2,0)&amp;""</f>
        <v xml:space="preserve"> Required Questions</v>
      </c>
      <c r="B17" s="29"/>
      <c r="C17" s="19" t="s">
        <v>1583</v>
      </c>
      <c r="D17" s="19"/>
      <c r="E17" s="38" t="s">
        <v>904</v>
      </c>
      <c r="F17" s="194" t="s">
        <v>905</v>
      </c>
      <c r="I17" s="42"/>
      <c r="J17" s="42"/>
    </row>
    <row r="18" spans="1:10" s="1" customFormat="1" ht="38.25" customHeight="1" thickBot="1" x14ac:dyDescent="0.3">
      <c r="A18" s="25" t="s">
        <v>48</v>
      </c>
      <c r="B18" s="24" t="str">
        <f>VLOOKUP($A18,Questions!$A$2:$X$333,2,0)</f>
        <v>Are you offering either a product or platform, as opposed to only offering a service</v>
      </c>
      <c r="C18" s="80" t="str">
        <f>VLOOKUP($A18,'START HERE'!$A$23:$F$36,3,0)&amp;""</f>
        <v>Yes</v>
      </c>
      <c r="D18" s="335" t="str">
        <f>VLOOKUP($A18,'START HERE'!$A$23:$F$36,4,0)&amp;""</f>
        <v/>
      </c>
      <c r="E18" s="174" t="str">
        <f>IF($C18="Yes",VLOOKUP($A18,Questions!$A$2:$X$333,17,0)&amp;"",IF($C18="No",VLOOKUP($A18,Questions!$A$2:$X$333,16,0)&amp;"",VLOOKUP($A18,Questions!$A$2:$X$333,15,0)&amp;""))</f>
        <v>DO complete the Product and Infrastructure worksheets</v>
      </c>
      <c r="F18" s="208" t="str">
        <f>VLOOKUP($A18,'Institution Evaluation'!$A$56:$F$346,6,0)&amp;""</f>
        <v/>
      </c>
      <c r="G18" s="255" t="s">
        <v>1531</v>
      </c>
      <c r="I18" s="42"/>
      <c r="J18" s="42"/>
    </row>
    <row r="19" spans="1:10" s="1" customFormat="1" ht="37.4" customHeight="1" thickBot="1" x14ac:dyDescent="0.3">
      <c r="A19" s="70" t="str">
        <f>VLOOKUP(LEFT($A20,4),'Auto Responses'!$N$4:$O$38,2,0)&amp;""</f>
        <v xml:space="preserve"> Application/Service Security</v>
      </c>
      <c r="B19" s="29"/>
      <c r="C19" s="19" t="s">
        <v>1583</v>
      </c>
      <c r="D19" s="19" t="s">
        <v>72</v>
      </c>
      <c r="E19" s="38" t="s">
        <v>904</v>
      </c>
      <c r="F19" s="194" t="s">
        <v>905</v>
      </c>
      <c r="I19" s="42"/>
      <c r="J19" s="42"/>
    </row>
    <row r="20" spans="1:10" s="1" customFormat="1" ht="97.5" customHeight="1" x14ac:dyDescent="0.25">
      <c r="A20" s="25" t="s">
        <v>164</v>
      </c>
      <c r="B20" s="24" t="str">
        <f>VLOOKUP($A20,Questions!$A$2:$X$333,2,0)</f>
        <v>Are access controls for institutional accounts based on structured rules, such as role-based access control (RBAC), attribute-based access control (ABAC), or policy-based access control (PBAC)?*</v>
      </c>
      <c r="C20" s="27" t="s">
        <v>40</v>
      </c>
      <c r="D20" s="336" t="s">
        <v>1736</v>
      </c>
      <c r="E20" s="174" t="str">
        <f>IF($C$18="No",'Auto Responses'!$A$3,IF($C20="Yes",VLOOKUP($A20,Questions!$A$2:$X$333,17,0)&amp;"",IF($C20="No",VLOOKUP($A20,Questions!$A$2:$X$333,16,0)&amp;"",VLOOKUP($A20,Questions!$A$2:$X$333,15,0)&amp;"")))</f>
        <v>Describe available roles.</v>
      </c>
      <c r="F20" s="208" t="str">
        <f>VLOOKUP($A20,'Institution Evaluation'!$A$56:$F$346,6,0)&amp;""</f>
        <v/>
      </c>
      <c r="I20" s="42"/>
      <c r="J20" s="42"/>
    </row>
    <row r="21" spans="1:10" s="1" customFormat="1" ht="120.75" customHeight="1" x14ac:dyDescent="0.25">
      <c r="A21" s="25" t="s">
        <v>169</v>
      </c>
      <c r="B21" s="24" t="str">
        <f>VLOOKUP($A21,Questions!$A$2:$X$333,2,0)</f>
        <v>Are you using a web application firewall (WAF)?*</v>
      </c>
      <c r="C21" s="27" t="s">
        <v>40</v>
      </c>
      <c r="D21" s="336" t="s">
        <v>1737</v>
      </c>
      <c r="E21" s="174" t="str">
        <f>IF($C$18="No",'Auto Responses'!$A$3,IF($C21="Yes",VLOOKUP($A21,Questions!$A$2:$X$333,17,0)&amp;"",IF($C21="No",VLOOKUP($A21,Questions!$A$2:$X$333,16,0)&amp;"",VLOOKUP($A21,Questions!$A$2:$X$333,15,0)&amp;"")))</f>
        <v>Describe the currently implemented WAF.</v>
      </c>
      <c r="F21" s="208" t="str">
        <f>VLOOKUP($A21,'Institution Evaluation'!$A$56:$F$346,6,0)&amp;""</f>
        <v/>
      </c>
      <c r="I21" s="42"/>
      <c r="J21" s="42"/>
    </row>
    <row r="22" spans="1:10" s="1" customFormat="1" ht="66.75" customHeight="1" x14ac:dyDescent="0.25">
      <c r="A22" s="25" t="s">
        <v>173</v>
      </c>
      <c r="B22" s="24" t="str">
        <f>VLOOKUP($A22,Questions!$A$2:$X$333,2,0)</f>
        <v>Are only currently supported operating system(s), software, and libraries leveraged by the system(s)/application(s) that will have access to institution's data?*</v>
      </c>
      <c r="C22" s="27" t="s">
        <v>40</v>
      </c>
      <c r="D22" s="336" t="s">
        <v>1738</v>
      </c>
      <c r="E22" s="174" t="str">
        <f>IF($C$18="No",'Auto Responses'!$A$3,IF($C22="Yes",VLOOKUP($A22,Questions!$A$2:$X$333,17,0)&amp;"",IF($C22="No",VLOOKUP($A22,Questions!$A$2:$X$333,16,0)&amp;"",VLOOKUP($A22,Questions!$A$2:$X$333,15,0)&amp;"")))</f>
        <v>Please provide a list of all required dependencies.</v>
      </c>
      <c r="F22" s="208" t="str">
        <f>VLOOKUP($A22,'Institution Evaluation'!$A$56:$F$346,6,0)&amp;""</f>
        <v/>
      </c>
      <c r="I22" s="42"/>
      <c r="J22" s="42"/>
    </row>
    <row r="23" spans="1:10" s="1" customFormat="1" ht="38.25" customHeight="1" x14ac:dyDescent="0.25">
      <c r="A23" s="25" t="s">
        <v>178</v>
      </c>
      <c r="B23" s="24" t="str">
        <f>VLOOKUP($A23,Questions!$A$2:$X$333,2,0)</f>
        <v>Does your application require access to location or GPS data?</v>
      </c>
      <c r="C23" s="27" t="s">
        <v>149</v>
      </c>
      <c r="D23" s="336" t="s">
        <v>1739</v>
      </c>
      <c r="E23" s="174" t="str">
        <f>IF($C$18="No",'Auto Responses'!$A$3,IF($C23="Yes",VLOOKUP($A23,Questions!$A$2:$X$333,17,0)&amp;"",IF($C23="No",VLOOKUP($A23,Questions!$A$2:$X$333,16,0)&amp;"",VLOOKUP($A23,Questions!$A$2:$X$333,15,0)&amp;"")))</f>
        <v>Please indicate any future plans that would require access to this data</v>
      </c>
      <c r="F23" s="208" t="str">
        <f>VLOOKUP($A23,'Institution Evaluation'!$A$56:$F$346,6,0)&amp;""</f>
        <v/>
      </c>
      <c r="I23" s="42"/>
      <c r="J23" s="42"/>
    </row>
    <row r="24" spans="1:10" s="1" customFormat="1" ht="50.25" customHeight="1" x14ac:dyDescent="0.25">
      <c r="A24" s="25" t="s">
        <v>181</v>
      </c>
      <c r="B24" s="24" t="str">
        <f>VLOOKUP($A24,Questions!$A$2:$X$333,2,0)</f>
        <v>Does your application provide separation of duties between security administration, system administration, and standard user functions?*</v>
      </c>
      <c r="C24" s="27" t="s">
        <v>40</v>
      </c>
      <c r="D24" s="336" t="s">
        <v>1740</v>
      </c>
      <c r="E24" s="174" t="str">
        <f>IF($C$18="No",'Auto Responses'!$A$3,IF($C24="Yes",VLOOKUP($A24,Questions!$A$2:$X$333,17,0)&amp;"",IF($C24="No",VLOOKUP($A24,Questions!$A$2:$X$333,16,0)&amp;"",VLOOKUP($A24,Questions!$A$2:$X$333,15,0)&amp;"")))</f>
        <v>Describe or provide a reference to the facilities available in the system to provide separation of duties between security administration and system administration functions.</v>
      </c>
      <c r="F24" s="208" t="str">
        <f>VLOOKUP($A24,'Institution Evaluation'!$A$56:$F$346,6,0)&amp;""</f>
        <v/>
      </c>
      <c r="I24" s="42"/>
      <c r="J24" s="42"/>
    </row>
    <row r="25" spans="1:10" s="1" customFormat="1" ht="57.75" customHeight="1" x14ac:dyDescent="0.25">
      <c r="A25" s="25" t="s">
        <v>186</v>
      </c>
      <c r="B25" s="24" t="str">
        <f>VLOOKUP($A25,Questions!$A$2:$X$333,2,0)</f>
        <v>Do you subject your code to static code analysis and/or static application security testing prior to release?*</v>
      </c>
      <c r="C25" s="27" t="s">
        <v>40</v>
      </c>
      <c r="D25" s="336" t="s">
        <v>1741</v>
      </c>
      <c r="E25" s="174" t="str">
        <f>IF($C$18="No",'Auto Responses'!$A$3,IF($C25="Yes",VLOOKUP($A25,Questions!$A$2:$X$333,17,0)&amp;"",IF($C25="No",VLOOKUP($A25,Questions!$A$2:$X$333,16,0)&amp;"",VLOOKUP($A25,Questions!$A$2:$X$333,15,0)&amp;"")))</f>
        <v>Provide a list of all tools utilized during static code analysis or static application security testing.</v>
      </c>
      <c r="F25" s="208" t="str">
        <f>VLOOKUP($A25,'Institution Evaluation'!$A$56:$F$346,6,0)&amp;""</f>
        <v/>
      </c>
      <c r="I25" s="42"/>
      <c r="J25" s="42"/>
    </row>
    <row r="26" spans="1:10" s="1" customFormat="1" ht="38.25" customHeight="1" x14ac:dyDescent="0.25">
      <c r="A26" s="25" t="s">
        <v>190</v>
      </c>
      <c r="B26" s="24" t="str">
        <f>VLOOKUP($A26,Questions!$A$2:$X$333,2,0)</f>
        <v>Do you have software testing processes (dynamic or static) that are established and followed?*</v>
      </c>
      <c r="C26" s="27" t="s">
        <v>40</v>
      </c>
      <c r="D26" s="336" t="s">
        <v>1742</v>
      </c>
      <c r="E26" s="174" t="str">
        <f>IF($C$18="No",'Auto Responses'!$A$3,IF($C26="Yes",VLOOKUP($A26,Questions!$A$2:$X$333,17,0)&amp;"",IF($C26="No",VLOOKUP($A26,Questions!$A$2:$X$333,16,0)&amp;"",VLOOKUP($A26,Questions!$A$2:$X$333,15,0)&amp;"")))</f>
        <v>Describe testing processes, including but not limited to, development of test plans, personnel involved in the testing process, and authorized individual accountable for approval and certification of test results.</v>
      </c>
      <c r="F26" s="208" t="str">
        <f>VLOOKUP($A26,'Institution Evaluation'!$A$56:$F$346,6,0)&amp;""</f>
        <v/>
      </c>
      <c r="I26" s="42"/>
      <c r="J26" s="42"/>
    </row>
    <row r="27" spans="1:10" s="1" customFormat="1" ht="111" customHeight="1" x14ac:dyDescent="0.25">
      <c r="A27" s="25" t="s">
        <v>196</v>
      </c>
      <c r="B27" s="24" t="str">
        <f>VLOOKUP($A27,Questions!$A$2:$X$333,2,0)</f>
        <v>Are access controls for staff within your organization based on structured rules, such as RBAC, ABAC, or PBAC?</v>
      </c>
      <c r="C27" s="27" t="s">
        <v>40</v>
      </c>
      <c r="D27" s="336" t="s">
        <v>1743</v>
      </c>
      <c r="E27" s="174" t="str">
        <f>IF($C$18="No",'Auto Responses'!$A$3,IF($C27="Yes",VLOOKUP($A27,Questions!$A$2:$X$333,17,0)&amp;"",IF($C27="No",VLOOKUP($A27,Questions!$A$2:$X$333,16,0)&amp;"",VLOOKUP($A27,Questions!$A$2:$X$333,15,0)&amp;"")))</f>
        <v/>
      </c>
      <c r="F27" s="208" t="str">
        <f>VLOOKUP($A27,'Institution Evaluation'!$A$56:$F$346,6,0)&amp;""</f>
        <v/>
      </c>
      <c r="I27" s="42"/>
      <c r="J27" s="42"/>
    </row>
    <row r="28" spans="1:10" s="1" customFormat="1" ht="38.25" customHeight="1" x14ac:dyDescent="0.25">
      <c r="A28" s="25" t="s">
        <v>201</v>
      </c>
      <c r="B28" s="24" t="str">
        <f>VLOOKUP($A28,Questions!$A$2:$X$333,2,0)</f>
        <v>Does the system provide data input validation and error messages?</v>
      </c>
      <c r="C28" s="27" t="s">
        <v>40</v>
      </c>
      <c r="D28" s="336" t="s">
        <v>1744</v>
      </c>
      <c r="E28" s="174" t="str">
        <f>IF($C$18="No",'Auto Responses'!$A$3,IF($C28="Yes",VLOOKUP($A28,Questions!$A$2:$X$333,17,0)&amp;"",IF($C28="No",VLOOKUP($A28,Questions!$A$2:$X$333,16,0)&amp;"",VLOOKUP($A28,Questions!$A$2:$X$333,15,0)&amp;"")))</f>
        <v>Describe how your system(s) provide data input validation and error messages.</v>
      </c>
      <c r="F28" s="208" t="str">
        <f>VLOOKUP($A28,'Institution Evaluation'!$A$56:$F$346,6,0)&amp;""</f>
        <v/>
      </c>
      <c r="I28" s="42"/>
      <c r="J28" s="42"/>
    </row>
    <row r="29" spans="1:10" s="1" customFormat="1" ht="51.75" customHeight="1" x14ac:dyDescent="0.25">
      <c r="A29" s="25" t="s">
        <v>204</v>
      </c>
      <c r="B29" s="24" t="str">
        <f>VLOOKUP($A29,Questions!$A$2:$X$333,2,0)</f>
        <v>Do you have a process and implemented procedures for managing your software supply chain (e.g., libraries, repositories, frameworks, etc.)</v>
      </c>
      <c r="C29" s="27" t="s">
        <v>40</v>
      </c>
      <c r="D29" s="336" t="s">
        <v>1745</v>
      </c>
      <c r="E29" s="174" t="str">
        <f>IF($C$18="No",'Auto Responses'!$A$3,IF($C29="Yes",VLOOKUP($A29,Questions!$A$2:$X$333,17,0)&amp;"",IF($C29="No",VLOOKUP($A29,Questions!$A$2:$X$333,16,0)&amp;"",VLOOKUP($A29,Questions!$A$2:$X$333,15,0)&amp;"")))</f>
        <v>Provide supporting documentation of your processes.</v>
      </c>
      <c r="F29" s="208" t="str">
        <f>VLOOKUP($A29,'Institution Evaluation'!$A$56:$F$346,6,0)&amp;""</f>
        <v/>
      </c>
      <c r="I29" s="42"/>
      <c r="J29" s="42"/>
    </row>
    <row r="30" spans="1:10" s="1" customFormat="1" ht="38.25" customHeight="1" x14ac:dyDescent="0.25">
      <c r="A30" s="25" t="s">
        <v>208</v>
      </c>
      <c r="B30" s="24" t="str">
        <f>VLOOKUP($A30,Questions!$A$2:$X$333,2,0)</f>
        <v>Have your developers been trained in secure coding techniques?</v>
      </c>
      <c r="C30" s="27" t="s">
        <v>40</v>
      </c>
      <c r="D30" s="336" t="s">
        <v>1746</v>
      </c>
      <c r="E30" s="174" t="str">
        <f>IF($C$18="No",'Auto Responses'!$A$3,IF($C30="Yes",VLOOKUP($A30,Questions!$A$2:$X$333,17,0)&amp;"",IF($C30="No",VLOOKUP($A30,Questions!$A$2:$X$333,16,0)&amp;"",VLOOKUP($A30,Questions!$A$2:$X$333,15,0)&amp;"")))</f>
        <v>Summarize your secure coding training.</v>
      </c>
      <c r="F30" s="208" t="str">
        <f>VLOOKUP($A30,'Institution Evaluation'!$A$56:$F$346,6,0)&amp;""</f>
        <v/>
      </c>
      <c r="I30" s="42"/>
      <c r="J30" s="42"/>
    </row>
    <row r="31" spans="1:10" s="1" customFormat="1" ht="45.75" customHeight="1" x14ac:dyDescent="0.25">
      <c r="A31" s="25" t="s">
        <v>212</v>
      </c>
      <c r="B31" s="24" t="str">
        <f>VLOOKUP($A31,Questions!$A$2:$X$333,2,0)</f>
        <v>Was your application developed using secure coding techniques?</v>
      </c>
      <c r="C31" s="27" t="s">
        <v>40</v>
      </c>
      <c r="D31" s="337" t="s">
        <v>1747</v>
      </c>
      <c r="E31" s="174" t="str">
        <f>IF($C$18="No",'Auto Responses'!$A$3,IF($C31="Yes",VLOOKUP($A31,Questions!$A$2:$X$333,17,0)&amp;"",IF($C31="No",VLOOKUP($A31,Questions!$A$2:$X$333,16,0)&amp;"",VLOOKUP($A31,Questions!$A$2:$X$333,15,0)&amp;"")))</f>
        <v>Summarize your secure coding practices.</v>
      </c>
      <c r="F31" s="208" t="str">
        <f>VLOOKUP($A31,'Institution Evaluation'!$A$56:$F$346,6,0)&amp;""</f>
        <v/>
      </c>
      <c r="I31" s="42"/>
      <c r="J31" s="42"/>
    </row>
    <row r="32" spans="1:10" s="1" customFormat="1" ht="48" customHeight="1" x14ac:dyDescent="0.25">
      <c r="A32" s="25" t="s">
        <v>216</v>
      </c>
      <c r="B32" s="24" t="str">
        <f>VLOOKUP($A32,Questions!$A$2:$X$333,2,0)</f>
        <v>If mobile, is the application available from a trusted source (e.g., App Store, Google Play Store)?</v>
      </c>
      <c r="C32" s="27" t="s">
        <v>40</v>
      </c>
      <c r="D32" s="337" t="s">
        <v>1748</v>
      </c>
      <c r="E32" s="174" t="str">
        <f>IF($C$18="No",'Auto Responses'!$A$3,IF($C32="Yes",VLOOKUP($A32,Questions!$A$2:$X$333,17,0)&amp;"",IF($C32="No",VLOOKUP($A32,Questions!$A$2:$X$333,16,0)&amp;"",IF($C32="N/A",VLOOKUP($A32,Questions!$A$2:$X$333,18,0)&amp;"",VLOOKUP($A32,Questions!$A$2:$X$333,15,0)&amp;""))))</f>
        <v>State the application title as listed within the trusted source.</v>
      </c>
      <c r="F32" s="208" t="str">
        <f>VLOOKUP($A32,'Institution Evaluation'!$A$56:$F$346,6,0)&amp;""</f>
        <v/>
      </c>
      <c r="I32" s="42"/>
      <c r="J32" s="42"/>
    </row>
    <row r="33" spans="1:10" s="1" customFormat="1" ht="61.5" customHeight="1" thickBot="1" x14ac:dyDescent="0.3">
      <c r="A33" s="25" t="s">
        <v>219</v>
      </c>
      <c r="B33" s="24" t="str">
        <f>VLOOKUP($A33,Questions!$A$2:$X$333,2,0)</f>
        <v>Do you have a fully implemented policy or procedure that details how your employees obtain administrator access to institutional instance of the application?</v>
      </c>
      <c r="C33" s="27" t="s">
        <v>40</v>
      </c>
      <c r="D33" s="337" t="s">
        <v>1749</v>
      </c>
      <c r="E33" s="174" t="str">
        <f>IF($C$18="No",'Auto Responses'!$A$3,IF($C33="Yes",VLOOKUP($A33,Questions!$A$2:$X$333,17,0)&amp;"",IF($C33="No",VLOOKUP($A33,Questions!$A$2:$X$333,16,0)&amp;"",VLOOKUP($A33,Questions!$A$2:$X$333,15,0)&amp;"")))</f>
        <v>Describe or provide a reference that details how administrator access is handled (e.g., provisioning, principle of least privilege, deprovisioning, etc.).</v>
      </c>
      <c r="F33" s="208" t="str">
        <f>VLOOKUP($A33,'Institution Evaluation'!$A$56:$F$346,6,0)&amp;""</f>
        <v/>
      </c>
      <c r="G33" s="255" t="s">
        <v>1531</v>
      </c>
      <c r="I33" s="42"/>
      <c r="J33" s="42"/>
    </row>
    <row r="34" spans="1:10" s="1" customFormat="1" ht="37.4" customHeight="1" thickBot="1" x14ac:dyDescent="0.3">
      <c r="A34" s="70" t="str">
        <f>VLOOKUP(LEFT($A35,4),'Auto Responses'!$N$4:$O$38,2,0)&amp;""</f>
        <v xml:space="preserve"> Datacenter</v>
      </c>
      <c r="B34" s="29"/>
      <c r="C34" s="19" t="s">
        <v>1583</v>
      </c>
      <c r="D34" s="19" t="s">
        <v>72</v>
      </c>
      <c r="E34" s="38" t="s">
        <v>904</v>
      </c>
      <c r="F34" s="194" t="s">
        <v>905</v>
      </c>
      <c r="I34" s="42"/>
      <c r="J34" s="42"/>
    </row>
    <row r="35" spans="1:10" s="1" customFormat="1" ht="84" customHeight="1" x14ac:dyDescent="0.25">
      <c r="A35" s="25" t="s">
        <v>421</v>
      </c>
      <c r="B35" s="24" t="str">
        <f>VLOOKUP($A35,Questions!$A$2:$X$333,2,0)</f>
        <v>Select your hosting option.</v>
      </c>
      <c r="C35" s="81" t="s">
        <v>918</v>
      </c>
      <c r="D35" s="337"/>
      <c r="E35" s="174" t="str">
        <f>IF(OR($C35="",$C35="Other"),VLOOKUP($A35,Questions!$A$2:$X$333,15,0),"")&amp;""</f>
        <v/>
      </c>
      <c r="F35" s="208" t="str">
        <f>VLOOKUP($A35,'Institution Evaluation'!$A$56:$F$346,6,0)&amp;""</f>
        <v/>
      </c>
      <c r="I35" s="42"/>
      <c r="J35" s="42"/>
    </row>
    <row r="36" spans="1:10" s="1" customFormat="1" ht="53.25" customHeight="1" x14ac:dyDescent="0.25">
      <c r="A36" s="25" t="s">
        <v>426</v>
      </c>
      <c r="B36" s="24" t="str">
        <f>VLOOKUP($A36,Questions!$A$2:$X$333,2,0)</f>
        <v>Is a SOC 2 Type 2 report available for the hosting environment?</v>
      </c>
      <c r="C36" s="27"/>
      <c r="D36" s="337" t="s">
        <v>1750</v>
      </c>
      <c r="E36" s="174" t="str">
        <f>IF($C$35="","",IF(OR($C$35='Auto Responses'!$J$20,$C$35='Auto Responses'!$J$21,$C$35='Auto Responses'!$J$22),'Auto Responses'!$A$26,IF($C36="Yes",VLOOKUP($A36,Questions!$A$2:$X$333,17,0)&amp;"",IF($C36="No",VLOOKUP($A36,Questions!$A$2:$X$333,16,0)&amp;"",VLOOKUP($A36,Questions!$A$2:$X$333,15,0)&amp;""))))</f>
        <v>Based on the response to DCTR-01, this question does not apply to this product or service.</v>
      </c>
      <c r="F36" s="208" t="str">
        <f>VLOOKUP($A36,'Institution Evaluation'!$A$56:$F$346,6,0)&amp;""</f>
        <v/>
      </c>
      <c r="I36" s="42"/>
      <c r="J36" s="42"/>
    </row>
    <row r="37" spans="1:10" s="1" customFormat="1" ht="58.5" customHeight="1" x14ac:dyDescent="0.25">
      <c r="A37" s="25" t="s">
        <v>428</v>
      </c>
      <c r="B37" s="24" t="str">
        <f>VLOOKUP($A37,Questions!$A$2:$X$333,2,0)</f>
        <v>Are you generally able to accommodate storing each institution's data within its geographic region?</v>
      </c>
      <c r="C37" s="27" t="s">
        <v>149</v>
      </c>
      <c r="D37" s="337" t="s">
        <v>1751</v>
      </c>
      <c r="E37" s="174" t="str">
        <f>IF($C$35="","",IF($C37="Yes",VLOOKUP($A37,Questions!$A$2:$X$333,17,0)&amp;"",IF($C37="No",VLOOKUP($A37,Questions!$A$2:$X$333,16,0)&amp;"",VLOOKUP($A37,Questions!$A$2:$X$333,15,0)&amp;"")))</f>
        <v>Under what circumstances would institutional data leave a designated region or regions?</v>
      </c>
      <c r="F37" s="208" t="str">
        <f>VLOOKUP($A37,'Institution Evaluation'!$A$56:$F$346,6,0)&amp;""</f>
        <v/>
      </c>
      <c r="I37" s="42"/>
      <c r="J37" s="42"/>
    </row>
    <row r="38" spans="1:10" s="1" customFormat="1" ht="53.25" customHeight="1" x14ac:dyDescent="0.25">
      <c r="A38" s="25" t="s">
        <v>431</v>
      </c>
      <c r="B38" s="24" t="str">
        <f>VLOOKUP($A38,Questions!$A$2:$X$333,2,0)</f>
        <v>Are the data centers staffed 24 hours a day, seven days a week (i.e., 24 x 7 x 365)?</v>
      </c>
      <c r="C38" s="27"/>
      <c r="D38" s="337" t="s">
        <v>1750</v>
      </c>
      <c r="E38" s="174" t="str">
        <f>IF($C$35="","",IF(OR($C$35='Auto Responses'!$J$20,$C$35='Auto Responses'!$J$21,$C$35='Auto Responses'!$J$22),'Auto Responses'!$A$26,IF($C38="Yes",VLOOKUP($A38,Questions!$A$2:$X$333,17,0)&amp;"",IF($C38="No",VLOOKUP($A38,Questions!$A$2:$X$333,16,0)&amp;"",VLOOKUP($A38,Questions!$A$2:$X$333,15,0)&amp;""))))</f>
        <v>Based on the response to DCTR-01, this question does not apply to this product or service.</v>
      </c>
      <c r="F38" s="208" t="str">
        <f>VLOOKUP($A38,'Institution Evaluation'!$A$56:$F$346,6,0)&amp;""</f>
        <v/>
      </c>
      <c r="I38" s="42"/>
      <c r="J38" s="42"/>
    </row>
    <row r="39" spans="1:10" s="1" customFormat="1" ht="55.5" customHeight="1" x14ac:dyDescent="0.25">
      <c r="A39" s="25" t="s">
        <v>436</v>
      </c>
      <c r="B39" s="24" t="str">
        <f>VLOOKUP($A39,Questions!$A$2:$X$333,2,0)</f>
        <v>Are your servers separated from other companies via a physical barrier, such as a cage or hard walls?</v>
      </c>
      <c r="C39" s="27"/>
      <c r="D39" s="337" t="s">
        <v>1750</v>
      </c>
      <c r="E39" s="174" t="str">
        <f>IF($C$35="","",IF(OR($C$35='Auto Responses'!$J$17,$C$35='Auto Responses'!$J$19,$C$35='Auto Responses'!$J$20,$C$35='Auto Responses'!$J$21,$C$35='Auto Responses'!$J$22),'Auto Responses'!$A$26,IF($C39="Yes",VLOOKUP($A39,Questions!$A$2:$X$333,17,0)&amp;"",IF($C39="No",VLOOKUP($A39,Questions!$A$2:$X$333,16,0)&amp;"",VLOOKUP($A39,Questions!$A$2:$X$333,15,0)&amp;""))))</f>
        <v>Based on the response to DCTR-01, this question does not apply to this product or service.</v>
      </c>
      <c r="F39" s="208" t="str">
        <f>VLOOKUP($A39,'Institution Evaluation'!$A$56:$F$346,6,0)&amp;""</f>
        <v/>
      </c>
      <c r="I39" s="42"/>
      <c r="J39" s="42"/>
    </row>
    <row r="40" spans="1:10" s="1" customFormat="1" ht="56.25" customHeight="1" x14ac:dyDescent="0.25">
      <c r="A40" s="25" t="s">
        <v>439</v>
      </c>
      <c r="B40" s="24" t="str">
        <f>VLOOKUP($A40,Questions!$A$2:$X$333,2,0)</f>
        <v>Does a physical barrier fully enclose the physical space, preventing unauthorized physical contact with any of your devices?*</v>
      </c>
      <c r="C40" s="27"/>
      <c r="D40" s="337" t="s">
        <v>1750</v>
      </c>
      <c r="E40" s="174" t="str">
        <f>IF($C$35="","",IF(OR($C$35='Auto Responses'!$J$19,$C$35='Auto Responses'!$J$20,$C$35='Auto Responses'!$J$21,$C$35='Auto Responses'!$J$22),'Auto Responses'!$A$26,IF($C40="Yes",VLOOKUP($A40,Questions!$A$2:$X$333,17,0)&amp;"",IF($C40="No",VLOOKUP($A40,Questions!$A$2:$X$333,16,0)&amp;"",VLOOKUP($A40,Questions!$A$2:$X$333,15,0)&amp;""))))</f>
        <v>Based on the response to DCTR-01, this question does not apply to this product or service.</v>
      </c>
      <c r="F40" s="208" t="str">
        <f>VLOOKUP($A40,'Institution Evaluation'!$A$56:$F$346,6,0)&amp;""</f>
        <v/>
      </c>
      <c r="I40" s="42"/>
      <c r="J40" s="42"/>
    </row>
    <row r="41" spans="1:10" s="1" customFormat="1" ht="48.75" customHeight="1" x14ac:dyDescent="0.25">
      <c r="A41" s="25" t="s">
        <v>441</v>
      </c>
      <c r="B41" s="24" t="str">
        <f>VLOOKUP($A41,Questions!$A$2:$X$333,2,0)</f>
        <v>Are your primary and secondary data centers geographically diverse?</v>
      </c>
      <c r="C41" s="27" t="s">
        <v>40</v>
      </c>
      <c r="D41" s="337" t="s">
        <v>1752</v>
      </c>
      <c r="E41" s="174" t="str">
        <f>IF($C$35="","",IF($C41="Yes",VLOOKUP($A41,Questions!$A$2:$X$333,17,0)&amp;"",IF($C41="No",VLOOKUP($A41,Questions!$A$2:$X$333,16,0)&amp;"",VLOOKUP($A41,Questions!$A$2:$X$333,15,0)&amp;"")))</f>
        <v>State your primary and secondary data center locations. For cloud infrastructures, state the primary and secondary zones.</v>
      </c>
      <c r="F41" s="208" t="str">
        <f>VLOOKUP($A41,'Institution Evaluation'!$A$56:$F$346,6,0)&amp;""</f>
        <v/>
      </c>
      <c r="I41" s="42"/>
      <c r="J41" s="42"/>
    </row>
    <row r="42" spans="1:10" s="1" customFormat="1" ht="48" customHeight="1" x14ac:dyDescent="0.25">
      <c r="A42" s="25" t="s">
        <v>446</v>
      </c>
      <c r="B42" s="24" t="str">
        <f>VLOOKUP($A42,Questions!$A$2:$X$333,2,0)</f>
        <v>Is the service hosted in a high-availability environment?</v>
      </c>
      <c r="C42" s="27" t="s">
        <v>40</v>
      </c>
      <c r="D42" s="337" t="s">
        <v>1753</v>
      </c>
      <c r="E42" s="174" t="str">
        <f>IF($C$35="","",IF($C42="Yes",VLOOKUP($A42,Questions!$A$2:$X$333,17,0)&amp;"",IF($C42="No",VLOOKUP($A42,Questions!$A$2:$X$333,16,0)&amp;"",VLOOKUP($A42,Questions!$A$2:$X$333,15,0)&amp;"")))</f>
        <v>Provide a summary to support your response selection.</v>
      </c>
      <c r="F42" s="208" t="str">
        <f>VLOOKUP($A42,'Institution Evaluation'!$A$56:$F$346,6,0)&amp;""</f>
        <v/>
      </c>
      <c r="I42" s="42"/>
      <c r="J42" s="42"/>
    </row>
    <row r="43" spans="1:10" s="1" customFormat="1" ht="55.5" customHeight="1" x14ac:dyDescent="0.25">
      <c r="A43" s="25" t="s">
        <v>447</v>
      </c>
      <c r="B43" s="24" t="str">
        <f>VLOOKUP($A43,Questions!$A$2:$X$333,2,0)</f>
        <v>Is redundant power available for all data centers where institutional data will reside?</v>
      </c>
      <c r="C43" s="27"/>
      <c r="D43" s="337" t="s">
        <v>1750</v>
      </c>
      <c r="E43" s="174" t="str">
        <f>IF($C$35="","",IF(OR($C$35='Auto Responses'!$J$20,$C$35='Auto Responses'!$J$21,$C$35='Auto Responses'!$J$22),'Auto Responses'!$A$26,IF($C43="Yes",VLOOKUP($A43,Questions!$A$2:$X$333,17,0)&amp;"",IF($C43="No",VLOOKUP($A43,Questions!$A$2:$X$333,16,0)&amp;"",VLOOKUP($A43,Questions!$A$2:$X$333,15,0)&amp;""))))</f>
        <v>Based on the response to DCTR-01, this question does not apply to this product or service.</v>
      </c>
      <c r="F43" s="208" t="str">
        <f>VLOOKUP($A43,'Institution Evaluation'!$A$56:$F$346,6,0)&amp;""</f>
        <v/>
      </c>
      <c r="I43" s="42"/>
      <c r="J43" s="42"/>
    </row>
    <row r="44" spans="1:10" s="1" customFormat="1" ht="56.25" customHeight="1" x14ac:dyDescent="0.25">
      <c r="A44" s="25" t="s">
        <v>448</v>
      </c>
      <c r="B44" s="24" t="str">
        <f>VLOOKUP($A44,Questions!$A$2:$X$333,2,0)</f>
        <v>Are redundant power strategies tested?*</v>
      </c>
      <c r="C44" s="27"/>
      <c r="D44" s="337" t="s">
        <v>1750</v>
      </c>
      <c r="E44" s="174" t="str">
        <f>IF($C$35="","",IF(OR($C$35='Auto Responses'!$J$20,$C$35='Auto Responses'!$J$21,$C$35='Auto Responses'!$J$22),'Auto Responses'!$A$26,IF($C44="Yes",VLOOKUP($A44,Questions!$A$2:$X$333,17,0)&amp;"",IF($C44="No",VLOOKUP($A44,Questions!$A$2:$X$333,16,0)&amp;"",VLOOKUP($A44,Questions!$A$2:$X$333,15,0)&amp;""))))</f>
        <v>Based on the response to DCTR-01, this question does not apply to this product or service.</v>
      </c>
      <c r="F44" s="208" t="str">
        <f>VLOOKUP($A44,'Institution Evaluation'!$A$56:$F$346,6,0)&amp;""</f>
        <v/>
      </c>
      <c r="I44" s="42"/>
      <c r="J44" s="42"/>
    </row>
    <row r="45" spans="1:10" s="1" customFormat="1" ht="60" customHeight="1" x14ac:dyDescent="0.25">
      <c r="A45" s="25" t="s">
        <v>453</v>
      </c>
      <c r="B45" s="24" t="str">
        <f>VLOOKUP($A45,Questions!$A$2:$X$333,2,0)</f>
        <v>Does the center where the data will reside have cooling and fire-suppression systems that are active and regularly tested?</v>
      </c>
      <c r="C45" s="27"/>
      <c r="D45" s="337" t="s">
        <v>1750</v>
      </c>
      <c r="E45" s="174" t="str">
        <f>IF($C$35="","",IF(OR($C$35='Auto Responses'!$J$19,$C$35='Auto Responses'!$J$20,$C$35='Auto Responses'!$J$21,$C$35='Auto Responses'!$J$22,$C$35='Auto Responses'!$J$23),'Auto Responses'!$A$26,IF($C45="Yes",VLOOKUP($A45,Questions!$A$2:$X$333,17,0)&amp;"",IF($C45="No",VLOOKUP($A45,Questions!$A$2:$X$333,16,0)&amp;"",VLOOKUP($A45,Questions!$A$2:$X$333,15,0)&amp;""))))</f>
        <v>Based on the response to DCTR-01, this question does not apply to this product or service.</v>
      </c>
      <c r="F45" s="208" t="str">
        <f>VLOOKUP($A45,'Institution Evaluation'!$A$56:$F$346,6,0)&amp;""</f>
        <v/>
      </c>
      <c r="I45" s="42"/>
      <c r="J45" s="42"/>
    </row>
    <row r="46" spans="1:10" s="1" customFormat="1" ht="55.5" customHeight="1" x14ac:dyDescent="0.25">
      <c r="A46" s="25" t="s">
        <v>456</v>
      </c>
      <c r="B46" s="24" t="str">
        <f>VLOOKUP($A46,Questions!$A$2:$X$333,2,0)</f>
        <v>Do you have Internet Service Provider (ISP) redundancy?</v>
      </c>
      <c r="C46" s="27"/>
      <c r="D46" s="337" t="s">
        <v>1750</v>
      </c>
      <c r="E46" s="174" t="str">
        <f>IF($C$35="","",IF(OR($C$35='Auto Responses'!$J$20,$C$35='Auto Responses'!$J$21,$C$35='Auto Responses'!$J$22),'Auto Responses'!$A$26,IF($C46="Yes",VLOOKUP($A46,Questions!$A$2:$X$333,17,0)&amp;"",IF($C46="No",VLOOKUP($A46,Questions!$A$2:$X$333,16,0)&amp;"",VLOOKUP($A46,Questions!$A$2:$X$333,15,0)&amp;""))))</f>
        <v>Based on the response to DCTR-01, this question does not apply to this product or service.</v>
      </c>
      <c r="F46" s="208" t="str">
        <f>VLOOKUP($A46,'Institution Evaluation'!$A$56:$F$346,6,0)&amp;""</f>
        <v/>
      </c>
      <c r="I46" s="42"/>
      <c r="J46" s="42"/>
    </row>
    <row r="47" spans="1:10" s="1" customFormat="1" ht="56.25" customHeight="1" x14ac:dyDescent="0.25">
      <c r="A47" s="25" t="s">
        <v>460</v>
      </c>
      <c r="B47" s="24" t="str">
        <f>VLOOKUP($A47,Questions!$A$2:$X$333,2,0)</f>
        <v>Does every data center where the institution's data will reside have multiple telephone company or network provider entrances to the facility?</v>
      </c>
      <c r="C47" s="27"/>
      <c r="D47" s="337" t="s">
        <v>1750</v>
      </c>
      <c r="E47" s="174" t="str">
        <f>IF($C$35="","",IF(OR($C$35='Auto Responses'!$J$20,$C$35='Auto Responses'!$J$21,$C$35='Auto Responses'!$J$22),'Auto Responses'!$A$26,IF($C47="Yes",VLOOKUP($A47,Questions!$A$2:$X$333,17,0)&amp;"",IF($C47="No",VLOOKUP($A47,Questions!$A$2:$X$333,16,0)&amp;"",VLOOKUP($A47,Questions!$A$2:$X$333,15,0)&amp;""))))</f>
        <v>Based on the response to DCTR-01, this question does not apply to this product or service.</v>
      </c>
      <c r="F47" s="208" t="str">
        <f>VLOOKUP($A47,'Institution Evaluation'!$A$56:$F$346,6,0)&amp;""</f>
        <v/>
      </c>
      <c r="I47" s="42"/>
      <c r="J47" s="42"/>
    </row>
    <row r="48" spans="1:10" s="1" customFormat="1" ht="49.5" customHeight="1" x14ac:dyDescent="0.25">
      <c r="A48" s="25" t="s">
        <v>462</v>
      </c>
      <c r="B48" s="24" t="str">
        <f>VLOOKUP($A48,Questions!$A$2:$X$333,2,0)</f>
        <v>Do you require multifactor authentication for all administrative accounts in your environment?</v>
      </c>
      <c r="C48" s="27" t="s">
        <v>40</v>
      </c>
      <c r="D48" s="337" t="s">
        <v>1754</v>
      </c>
      <c r="E48" s="174" t="str">
        <f>IF($C$35="","",IF($C48="Yes",VLOOKUP($A48,Questions!$A$2:$X$333,17,0)&amp;"",IF($C48="No",VLOOKUP($A48,Questions!$A$2:$X$333,16,0)&amp;"",VLOOKUP($A48,Questions!$A$2:$X$333,15,0)&amp;"")))</f>
        <v>State which model of MFA you are using.</v>
      </c>
      <c r="F48" s="208" t="str">
        <f>VLOOKUP($A48,'Institution Evaluation'!$A$56:$F$346,6,0)&amp;""</f>
        <v/>
      </c>
      <c r="I48" s="42"/>
      <c r="J48" s="42"/>
    </row>
    <row r="49" spans="1:10" s="1" customFormat="1" ht="54" customHeight="1" x14ac:dyDescent="0.25">
      <c r="A49" s="25" t="s">
        <v>466</v>
      </c>
      <c r="B49" s="24" t="str">
        <f>VLOOKUP($A49,Questions!$A$2:$X$333,2,0)</f>
        <v>Are you using your cloud provider's available hardening tools or pre-hardened images?</v>
      </c>
      <c r="C49" s="27" t="s">
        <v>40</v>
      </c>
      <c r="D49" s="337"/>
      <c r="E49" s="174" t="str">
        <f>IF($C$35="","",IF(OR($C$35='Auto Responses'!$J$17,$C$35='Auto Responses'!$J$18),'Auto Responses'!$A$26,IF($C49="Yes",VLOOKUP($A49,Questions!$A$2:$X$333,17,0)&amp;"",IF($C49="No",VLOOKUP($A49,Questions!$A$2:$X$333,16,0)&amp;"",VLOOKUP($A49,Questions!$A$2:$X$333,15,0)&amp;""))))</f>
        <v/>
      </c>
      <c r="F49" s="208" t="str">
        <f>VLOOKUP($A49,'Institution Evaluation'!$A$56:$F$346,6,0)&amp;""</f>
        <v/>
      </c>
      <c r="I49" s="42"/>
      <c r="J49" s="42"/>
    </row>
    <row r="50" spans="1:10" s="1" customFormat="1" ht="52.5" customHeight="1" thickBot="1" x14ac:dyDescent="0.3">
      <c r="A50" s="25" t="s">
        <v>470</v>
      </c>
      <c r="B50" s="24" t="str">
        <f>VLOOKUP($A50,Questions!$A$2:$X$333,2,0)</f>
        <v>Does your cloud solution provider have access to your encryption keys?</v>
      </c>
      <c r="C50" s="27" t="s">
        <v>40</v>
      </c>
      <c r="D50" s="337"/>
      <c r="E50" s="174" t="str">
        <f>IF($C$35="","",IF(OR($C$35='Auto Responses'!$J$17,$C$35='Auto Responses'!$J$18),'Auto Responses'!$A$26,IF($C50="Yes",VLOOKUP($A50,Questions!$A$2:$X$333,17,0)&amp;"",IF($C50="No",VLOOKUP($A50,Questions!$A$2:$X$333,16,0)&amp;"",VLOOKUP($A50,Questions!$A$2:$X$333,15,0)&amp;""))))</f>
        <v/>
      </c>
      <c r="F50" s="208" t="str">
        <f>VLOOKUP($A50,'Institution Evaluation'!$A$56:$F$346,6,0)&amp;""</f>
        <v/>
      </c>
      <c r="I50" s="42"/>
      <c r="J50" s="42"/>
    </row>
    <row r="51" spans="1:10" s="1" customFormat="1" ht="37.4" customHeight="1" thickBot="1" x14ac:dyDescent="0.3">
      <c r="A51" s="70" t="str">
        <f>VLOOKUP(LEFT($A52,4),'Auto Responses'!$N$4:$O$38,2,0)&amp;""</f>
        <v xml:space="preserve"> Firewalls, IDS, IPS, and Networking</v>
      </c>
      <c r="B51" s="29"/>
      <c r="C51" s="19" t="s">
        <v>1583</v>
      </c>
      <c r="D51" s="19" t="s">
        <v>72</v>
      </c>
      <c r="E51" s="38" t="s">
        <v>904</v>
      </c>
      <c r="F51" s="194" t="s">
        <v>905</v>
      </c>
      <c r="I51" s="42"/>
      <c r="J51" s="42"/>
    </row>
    <row r="52" spans="1:10" s="1" customFormat="1" ht="38.25" customHeight="1" x14ac:dyDescent="0.25">
      <c r="A52" s="25" t="s">
        <v>476</v>
      </c>
      <c r="B52" s="24" t="str">
        <f>VLOOKUP($A52,Questions!$A$2:$X$333,2,0)</f>
        <v>Are you utilizing a stateful packet inspection (SPI) firewall?*</v>
      </c>
      <c r="C52" s="27" t="s">
        <v>40</v>
      </c>
      <c r="D52" s="337" t="s">
        <v>1755</v>
      </c>
      <c r="E52" s="174" t="str">
        <f>IF($C$18="No",'Auto Responses'!$A$3,IF($C52="Yes",VLOOKUP($A52,Questions!$A$2:$X$333,17,0)&amp;"",IF($C52="No",VLOOKUP($A52,Questions!$A$2:$X$333,16,0)&amp;"",VLOOKUP($A52,Questions!$A$2:$X$333,15,0)&amp;"")))</f>
        <v>Describe the currently implemented SPI firewall.</v>
      </c>
      <c r="F52" s="208" t="str">
        <f>VLOOKUP($A52,'Institution Evaluation'!$A$56:$F$346,6,0)&amp;""</f>
        <v/>
      </c>
      <c r="I52" s="42"/>
      <c r="J52" s="42"/>
    </row>
    <row r="53" spans="1:10" s="1" customFormat="1" ht="38.25" customHeight="1" x14ac:dyDescent="0.25">
      <c r="A53" s="25" t="s">
        <v>479</v>
      </c>
      <c r="B53" s="24" t="str">
        <f>VLOOKUP($A53,Questions!$A$2:$X$333,2,0)</f>
        <v>Do you have a documented policy for firewall change requests?*</v>
      </c>
      <c r="C53" s="27" t="s">
        <v>40</v>
      </c>
      <c r="D53" s="337" t="s">
        <v>1756</v>
      </c>
      <c r="E53" s="174" t="str">
        <f>IF($C$18="No",'Auto Responses'!$A$3,IF($C53="Yes",VLOOKUP($A53,Questions!$A$2:$X$333,17,0)&amp;"",IF($C53="No",VLOOKUP($A53,Questions!$A$2:$X$333,16,0)&amp;"",VLOOKUP($A53,Questions!$A$2:$X$333,15,0)&amp;"")))</f>
        <v>Describe your documented firewall change request policy.</v>
      </c>
      <c r="F53" s="208" t="str">
        <f>VLOOKUP($A53,'Institution Evaluation'!$A$56:$F$346,6,0)&amp;""</f>
        <v/>
      </c>
      <c r="I53" s="42"/>
      <c r="J53" s="42"/>
    </row>
    <row r="54" spans="1:10" s="1" customFormat="1" ht="38.25" customHeight="1" x14ac:dyDescent="0.25">
      <c r="A54" s="25" t="s">
        <v>484</v>
      </c>
      <c r="B54" s="24" t="str">
        <f>VLOOKUP($A54,Questions!$A$2:$X$333,2,0)</f>
        <v>Have you implemented an intrusion detection system (network-based)?*</v>
      </c>
      <c r="C54" s="27" t="s">
        <v>40</v>
      </c>
      <c r="D54" s="337" t="s">
        <v>1757</v>
      </c>
      <c r="E54" s="174" t="str">
        <f>IF($C$18="No",'Auto Responses'!$A$3,IF($C54="Yes",VLOOKUP($A54,Questions!$A$2:$X$333,17,0)&amp;"",IF($C54="No",VLOOKUP($A54,Questions!$A$2:$X$333,16,0)&amp;"",VLOOKUP($A54,Questions!$A$2:$X$333,15,0)&amp;"")))</f>
        <v>Describe the currently implemented IDS.</v>
      </c>
      <c r="F54" s="208" t="str">
        <f>VLOOKUP($A54,'Institution Evaluation'!$A$56:$F$346,6,0)&amp;""</f>
        <v/>
      </c>
      <c r="I54" s="42"/>
      <c r="J54" s="42"/>
    </row>
    <row r="55" spans="1:10" s="1" customFormat="1" ht="38.25" customHeight="1" x14ac:dyDescent="0.25">
      <c r="A55" s="25" t="s">
        <v>489</v>
      </c>
      <c r="B55" s="24" t="str">
        <f>VLOOKUP($A55,Questions!$A$2:$X$333,2,0)</f>
        <v>Do you employ host-based intrusion detection?*</v>
      </c>
      <c r="C55" s="27" t="s">
        <v>40</v>
      </c>
      <c r="D55" s="337" t="s">
        <v>1758</v>
      </c>
      <c r="E55" s="174" t="str">
        <f>IF($C$18="No",'Auto Responses'!$A$3,IF($C55="Yes",VLOOKUP($A55,Questions!$A$2:$X$333,17,0)&amp;"",IF($C55="No",VLOOKUP($A55,Questions!$A$2:$X$333,16,0)&amp;"",IF($C55="N/A",VLOOKUP($A55,Questions!$A$2:$X$333,18,0)&amp;"",VLOOKUP($A55,Questions!$A$2:$X$333,15,0)&amp;""))))</f>
        <v>Describe the currently implemented host-based IDS solution(s).</v>
      </c>
      <c r="F55" s="208" t="str">
        <f>VLOOKUP($A55,'Institution Evaluation'!$A$56:$F$346,6,0)&amp;""</f>
        <v/>
      </c>
      <c r="I55" s="42"/>
      <c r="J55" s="42"/>
    </row>
    <row r="56" spans="1:10" s="1" customFormat="1" ht="38.25" customHeight="1" x14ac:dyDescent="0.25">
      <c r="A56" s="25" t="s">
        <v>492</v>
      </c>
      <c r="B56" s="24" t="str">
        <f>VLOOKUP($A56,Questions!$A$2:$X$333,2,0)</f>
        <v>Are audit logs available for all changes to the network, firewall, IDS, and IPS systems?*</v>
      </c>
      <c r="C56" s="27" t="s">
        <v>40</v>
      </c>
      <c r="D56" s="337" t="s">
        <v>1759</v>
      </c>
      <c r="E56" s="174" t="str">
        <f>IF($C$18="No",'Auto Responses'!$A$3,IF($C56="Yes",VLOOKUP($A56,Questions!$A$2:$X$333,17,0)&amp;"",IF($C56="No",VLOOKUP($A56,Questions!$A$2:$X$333,16,0)&amp;"",VLOOKUP($A56,Questions!$A$2:$X$333,15,0)&amp;"")))</f>
        <v>Describe your current network systems logging strategy.</v>
      </c>
      <c r="F56" s="208" t="str">
        <f>VLOOKUP($A56,'Institution Evaluation'!$A$56:$F$346,6,0)&amp;""</f>
        <v/>
      </c>
      <c r="I56" s="42"/>
      <c r="J56" s="42"/>
    </row>
    <row r="57" spans="1:10" s="1" customFormat="1" ht="48" customHeight="1" x14ac:dyDescent="0.25">
      <c r="A57" s="25" t="s">
        <v>494</v>
      </c>
      <c r="B57" s="24" t="str">
        <f>VLOOKUP($A57,Questions!$A$2:$X$333,2,0)</f>
        <v>Is authority for firewall change approval documented? Please list approver names or titles in Additional Info.</v>
      </c>
      <c r="C57" s="27" t="s">
        <v>40</v>
      </c>
      <c r="D57" s="337" t="s">
        <v>1760</v>
      </c>
      <c r="E57" s="174" t="str">
        <f>IF($C$18="No",'Auto Responses'!$A$3,IF($C57="Yes",VLOOKUP($A57,Questions!$A$2:$X$333,17,0)&amp;"",IF($C57="No",VLOOKUP($A57,Questions!$A$2:$X$333,16,0)&amp;"",VLOOKUP($A57,Questions!$A$2:$X$333,15,0)&amp;"")))</f>
        <v>List approver names or titles.</v>
      </c>
      <c r="F57" s="208" t="str">
        <f>VLOOKUP($A57,'Institution Evaluation'!$A$56:$F$346,6,0)&amp;""</f>
        <v/>
      </c>
      <c r="I57" s="42"/>
      <c r="J57" s="42"/>
    </row>
    <row r="58" spans="1:10" s="1" customFormat="1" ht="38.25" customHeight="1" x14ac:dyDescent="0.25">
      <c r="A58" s="25" t="s">
        <v>496</v>
      </c>
      <c r="B58" s="24" t="str">
        <f>VLOOKUP($A58,Questions!$A$2:$X$333,2,0)</f>
        <v>Have you implemented an intrusion prevention system (network-based)?</v>
      </c>
      <c r="C58" s="27" t="s">
        <v>40</v>
      </c>
      <c r="D58" s="337" t="s">
        <v>1761</v>
      </c>
      <c r="E58" s="174" t="str">
        <f>IF($C$18="No",'Auto Responses'!$A$3,IF($C58="Yes",VLOOKUP($A58,Questions!$A$2:$X$333,17,0)&amp;"",IF($C58="No",VLOOKUP($A58,Questions!$A$2:$X$333,16,0)&amp;"",VLOOKUP($A58,Questions!$A$2:$X$333,15,0)&amp;"")))</f>
        <v>Describe the currently implemented IPS.</v>
      </c>
      <c r="F58" s="208" t="str">
        <f>VLOOKUP($A58,'Institution Evaluation'!$A$56:$F$346,6,0)&amp;""</f>
        <v/>
      </c>
      <c r="I58" s="42"/>
      <c r="J58" s="42"/>
    </row>
    <row r="59" spans="1:10" s="1" customFormat="1" ht="38.25" customHeight="1" x14ac:dyDescent="0.25">
      <c r="A59" s="25" t="s">
        <v>499</v>
      </c>
      <c r="B59" s="24" t="str">
        <f>VLOOKUP($A59,Questions!$A$2:$X$333,2,0)</f>
        <v>Do you employ host-based intrusion prevention?</v>
      </c>
      <c r="C59" s="27" t="s">
        <v>40</v>
      </c>
      <c r="D59" s="337" t="s">
        <v>1762</v>
      </c>
      <c r="E59" s="174" t="str">
        <f>IF($C$18="No",'Auto Responses'!$A$3,IF($C59="Yes",VLOOKUP($A59,Questions!$A$2:$X$333,17,0)&amp;"",IF($C59="No",VLOOKUP($A59,Questions!$A$2:$X$333,16,0)&amp;"",IF($C59="N/A",VLOOKUP($A59,Questions!$A$2:$X$333,18,0)&amp;"",VLOOKUP($A59,Questions!$A$2:$X$333,15,0)&amp;""))))</f>
        <v>Describe the currently implemented host-based IPS solution(s).</v>
      </c>
      <c r="F59" s="208" t="str">
        <f>VLOOKUP($A59,'Institution Evaluation'!$A$56:$F$346,6,0)&amp;""</f>
        <v/>
      </c>
      <c r="I59" s="42"/>
      <c r="J59" s="42"/>
    </row>
    <row r="60" spans="1:10" s="1" customFormat="1" ht="38.25" customHeight="1" x14ac:dyDescent="0.25">
      <c r="A60" s="25" t="s">
        <v>504</v>
      </c>
      <c r="B60" s="24" t="str">
        <f>VLOOKUP($A60,Questions!$A$2:$X$333,2,0)</f>
        <v>Are you employing any next-generation persistent threat (NGPT) monitoring?</v>
      </c>
      <c r="C60" s="27" t="s">
        <v>40</v>
      </c>
      <c r="D60" s="337" t="s">
        <v>1763</v>
      </c>
      <c r="E60" s="174" t="str">
        <f>IF($C$18="No",'Auto Responses'!$A$3,IF($C60="Yes",VLOOKUP($A60,Questions!$A$2:$X$333,17,0)&amp;"",IF($C60="No",VLOOKUP($A60,Questions!$A$2:$X$333,16,0)&amp;"",VLOOKUP($A60,Questions!$A$2:$X$333,15,0)&amp;"")))</f>
        <v>Describe your NGPT monitoring strategy.</v>
      </c>
      <c r="F60" s="208" t="str">
        <f>VLOOKUP($A60,'Institution Evaluation'!$A$56:$F$346,6,0)&amp;""</f>
        <v/>
      </c>
      <c r="I60" s="42"/>
      <c r="J60" s="42"/>
    </row>
    <row r="61" spans="1:10" s="1" customFormat="1" ht="60" customHeight="1" x14ac:dyDescent="0.25">
      <c r="A61" s="25" t="s">
        <v>509</v>
      </c>
      <c r="B61" s="24" t="str">
        <f>VLOOKUP($A61,Questions!$A$2:$X$333,2,0)</f>
        <v>Is intrusion monitoring performed internally or by a third-party service?</v>
      </c>
      <c r="C61" s="84" t="s">
        <v>40</v>
      </c>
      <c r="D61" s="333" t="s">
        <v>1764</v>
      </c>
      <c r="E61" s="174" t="str">
        <f>IF($C$18="No",'Auto Responses'!$A$3,IF($C61="Yes",VLOOKUP($A61,Questions!$A$2:$X$333,17,0)&amp;"",IF($C61="No",VLOOKUP($A61,Questions!$A$2:$X$333,16,0)&amp;"",VLOOKUP($A61,Questions!$A$2:$X$333,15,0)&amp;"")))</f>
        <v/>
      </c>
      <c r="F61" s="208" t="str">
        <f>VLOOKUP($A61,'Institution Evaluation'!$A$56:$F$346,6,0)&amp;""</f>
        <v/>
      </c>
      <c r="I61" s="42"/>
      <c r="J61" s="42"/>
    </row>
    <row r="62" spans="1:10" s="1" customFormat="1" ht="36" customHeight="1" thickBot="1" x14ac:dyDescent="0.3">
      <c r="A62" s="25" t="s">
        <v>513</v>
      </c>
      <c r="B62" s="24" t="str">
        <f>VLOOKUP($A62,Questions!$A$2:$X$333,2,0)</f>
        <v>Do you monitor for intrusions on a 24 x 7 x 365 basis?</v>
      </c>
      <c r="C62" s="27" t="s">
        <v>40</v>
      </c>
      <c r="D62" s="337" t="s">
        <v>1765</v>
      </c>
      <c r="E62" s="174" t="str">
        <f>IF($C$18="No",'Auto Responses'!$A$3,IF($C62="Yes",VLOOKUP($A62,Questions!$A$2:$X$333,17,0)&amp;"",IF($C62="No",VLOOKUP($A62,Questions!$A$2:$X$333,16,0)&amp;"",VLOOKUP($A62,Questions!$A$2:$X$333,15,0)&amp;"")))</f>
        <v>Provide a brief summary of this activity.</v>
      </c>
      <c r="F62" s="208" t="str">
        <f>VLOOKUP($A62,'Institution Evaluation'!$A$56:$F$346,6,0)&amp;""</f>
        <v/>
      </c>
      <c r="G62" s="255" t="s">
        <v>1531</v>
      </c>
      <c r="I62" s="42"/>
      <c r="J62" s="42"/>
    </row>
    <row r="63" spans="1:10" s="1" customFormat="1" ht="37.4" customHeight="1" thickBot="1" x14ac:dyDescent="0.3">
      <c r="A63" s="70" t="str">
        <f>VLOOKUP(LEFT($A64,4),'Auto Responses'!$N$4:$O$38,2,0)&amp;""</f>
        <v xml:space="preserve"> Incident Handling</v>
      </c>
      <c r="B63" s="29"/>
      <c r="C63" s="19" t="s">
        <v>1583</v>
      </c>
      <c r="D63" s="19" t="s">
        <v>72</v>
      </c>
      <c r="E63" s="38" t="s">
        <v>904</v>
      </c>
      <c r="F63" s="194" t="s">
        <v>905</v>
      </c>
      <c r="I63" s="42"/>
      <c r="J63" s="42"/>
    </row>
    <row r="64" spans="1:10" s="1" customFormat="1" ht="27" customHeight="1" x14ac:dyDescent="0.25">
      <c r="A64" s="25" t="s">
        <v>573</v>
      </c>
      <c r="B64" s="24" t="str">
        <f>VLOOKUP($A64,Questions!$A$2:$X$333,2,0)</f>
        <v>Do you have a formal incident response plan?</v>
      </c>
      <c r="C64" s="27" t="s">
        <v>40</v>
      </c>
      <c r="D64" s="337" t="s">
        <v>1766</v>
      </c>
      <c r="E64" s="174" t="str">
        <f>IF($C$18="No",'Auto Responses'!$A$3,IF($C64="Yes",VLOOKUP($A64,Questions!$A$2:$X$333,17,0)&amp;"",IF($C64="No",VLOOKUP($A64,Questions!$A$2:$X$333,16,0)&amp;"",VLOOKUP($A64,Questions!$A$2:$X$333,15,0)&amp;"")))</f>
        <v>Summarize or provide a link to your formal incident response plan.</v>
      </c>
      <c r="F64" s="208" t="str">
        <f>VLOOKUP($A64,'Institution Evaluation'!$A$56:$F$346,6,0)&amp;""</f>
        <v/>
      </c>
      <c r="I64" s="42"/>
      <c r="J64" s="42"/>
    </row>
    <row r="65" spans="1:12" s="1" customFormat="1" ht="40.5" customHeight="1" x14ac:dyDescent="0.25">
      <c r="A65" s="25" t="s">
        <v>577</v>
      </c>
      <c r="B65" s="24" t="str">
        <f>VLOOKUP($A65,Questions!$A$2:$X$333,2,0)</f>
        <v>Do you either have an internal incident response team or retain an external team?</v>
      </c>
      <c r="C65" s="27" t="s">
        <v>40</v>
      </c>
      <c r="D65" s="337" t="s">
        <v>1767</v>
      </c>
      <c r="E65" s="174" t="str">
        <f>IF($C$18="No",'Auto Responses'!$A$3,IF($C65="Yes",VLOOKUP($A65,Questions!$A$2:$X$333,17,0)&amp;"",IF($C65="No",VLOOKUP($A65,Questions!$A$2:$X$333,16,0)&amp;"",VLOOKUP($A65,Questions!$A$2:$X$333,15,0)&amp;"")))</f>
        <v>Summarize your incident response and reporting processes.</v>
      </c>
      <c r="F65" s="208" t="str">
        <f>VLOOKUP($A65,'Institution Evaluation'!$A$56:$F$346,6,0)&amp;""</f>
        <v/>
      </c>
      <c r="I65" s="42"/>
      <c r="J65" s="42"/>
    </row>
    <row r="66" spans="1:12" s="1" customFormat="1" ht="46.5" customHeight="1" x14ac:dyDescent="0.25">
      <c r="A66" s="25" t="s">
        <v>581</v>
      </c>
      <c r="B66" s="24" t="str">
        <f>VLOOKUP($A66,Questions!$A$2:$X$333,2,0)</f>
        <v>Do you have the capability to respond to incidents on a 24 x 7 x 365 basis?</v>
      </c>
      <c r="C66" s="27" t="s">
        <v>40</v>
      </c>
      <c r="D66" s="337" t="s">
        <v>1768</v>
      </c>
      <c r="E66" s="174" t="str">
        <f>IF($C$18="No",'Auto Responses'!$A$3,IF($C66="Yes",VLOOKUP($A66,Questions!$A$2:$X$333,17,0)&amp;"",IF($C66="No",VLOOKUP($A66,Questions!$A$2:$X$333,16,0)&amp;"",VLOOKUP($A66,Questions!$A$2:$X$333,15,0)&amp;"")))</f>
        <v>Summarize your internal approach or reference your third-party contractor.</v>
      </c>
      <c r="F66" s="208" t="str">
        <f>VLOOKUP($A66,'Institution Evaluation'!$A$56:$F$346,6,0)&amp;""</f>
        <v/>
      </c>
      <c r="I66" s="42"/>
      <c r="J66" s="42"/>
    </row>
    <row r="67" spans="1:12" s="1" customFormat="1" ht="48" customHeight="1" thickBot="1" x14ac:dyDescent="0.3">
      <c r="A67" s="25" t="s">
        <v>585</v>
      </c>
      <c r="B67" s="24" t="str">
        <f>VLOOKUP($A67,Questions!$A$2:$X$333,2,0)</f>
        <v>Do you carry cyber-risk insurance to protect against unforeseen service outages, data that is lost or stolen, and security incidents?</v>
      </c>
      <c r="C67" s="27" t="s">
        <v>40</v>
      </c>
      <c r="D67" s="337" t="s">
        <v>1769</v>
      </c>
      <c r="E67" s="174" t="str">
        <f>IF($C$18="No",'Auto Responses'!$A$3,IF($C67="Yes",VLOOKUP($A67,Questions!$A$2:$X$333,17,0)&amp;"",IF($C67="No",VLOOKUP($A67,Questions!$A$2:$X$333,16,0)&amp;"",VLOOKUP($A67,Questions!$A$2:$X$333,15,0)&amp;"")))</f>
        <v>Describe the coverage in place for this solution.</v>
      </c>
      <c r="F67" s="208" t="str">
        <f>VLOOKUP($A67,'Institution Evaluation'!$A$56:$F$346,6,0)&amp;""</f>
        <v/>
      </c>
      <c r="G67" s="255" t="s">
        <v>1531</v>
      </c>
      <c r="I67" s="42"/>
      <c r="J67" s="42"/>
    </row>
    <row r="68" spans="1:12" s="1" customFormat="1" ht="37.4" customHeight="1" thickBot="1" x14ac:dyDescent="0.3">
      <c r="A68" s="70" t="str">
        <f>VLOOKUP(LEFT($A69,4),'Auto Responses'!$N$4:$O$38,2,0)&amp;""</f>
        <v xml:space="preserve"> Vulnerability Management</v>
      </c>
      <c r="B68" s="29"/>
      <c r="C68" s="19" t="s">
        <v>1583</v>
      </c>
      <c r="D68" s="19" t="s">
        <v>72</v>
      </c>
      <c r="E68" s="38" t="s">
        <v>904</v>
      </c>
      <c r="F68" s="194" t="s">
        <v>905</v>
      </c>
      <c r="I68" s="42"/>
      <c r="J68" s="42"/>
    </row>
    <row r="69" spans="1:12" s="1" customFormat="1" ht="60.75" customHeight="1" x14ac:dyDescent="0.25">
      <c r="A69" s="25" t="s">
        <v>588</v>
      </c>
      <c r="B69" s="24" t="str">
        <f>VLOOKUP($A69,Questions!$A$2:$X$333,2,0)</f>
        <v>Are your systems and applications scanned with an authenticated user account for vulnerabilities (that are remediated) prior to new releases?*</v>
      </c>
      <c r="C69" s="27" t="s">
        <v>149</v>
      </c>
      <c r="D69" s="337" t="s">
        <v>1770</v>
      </c>
      <c r="E69" s="174" t="str">
        <f>IF($C$18="No",'Auto Responses'!$A$3,IF($C69="Yes",VLOOKUP($A69,Questions!$A$2:$X$333,17,0)&amp;"",IF($C69="No",VLOOKUP($A69,Questions!$A$2:$X$333,16,0)&amp;"",VLOOKUP($A69,Questions!$A$2:$X$333,15,0)&amp;"")))</f>
        <v>Describe plans to implement application vulnerability scanning (and remediation) prior to release.</v>
      </c>
      <c r="F69" s="208" t="str">
        <f>VLOOKUP($A69,'Institution Evaluation'!$A$56:$F$346,6,0)&amp;""</f>
        <v/>
      </c>
      <c r="I69" s="42"/>
      <c r="J69" s="42"/>
    </row>
    <row r="70" spans="1:12" s="1" customFormat="1" ht="36.75" customHeight="1" x14ac:dyDescent="0.25">
      <c r="A70" s="25" t="s">
        <v>592</v>
      </c>
      <c r="B70" s="24" t="str">
        <f>VLOOKUP($A70,Questions!$A$2:$X$333,2,0)</f>
        <v>Will you provide results of application and system vulnerability scans to the institution?*</v>
      </c>
      <c r="C70" s="27" t="s">
        <v>40</v>
      </c>
      <c r="D70" s="337" t="s">
        <v>1771</v>
      </c>
      <c r="E70" s="174" t="str">
        <f>IF($C$18="No",'Auto Responses'!$A$3,IF($C70="Yes",VLOOKUP($A70,Questions!$A$2:$X$333,17,0)&amp;"",IF($C70="No",VLOOKUP($A70,Questions!$A$2:$X$333,16,0)&amp;"",VLOOKUP($A70,Questions!$A$2:$X$333,15,0)&amp;"")))</f>
        <v>Provide a reference to security scan documentation.</v>
      </c>
      <c r="F70" s="208" t="str">
        <f>VLOOKUP($A70,'Institution Evaluation'!$A$56:$F$346,6,0)&amp;""</f>
        <v/>
      </c>
      <c r="I70" s="42"/>
      <c r="J70" s="42"/>
    </row>
    <row r="71" spans="1:12" s="1" customFormat="1" ht="51.75" customHeight="1" x14ac:dyDescent="0.25">
      <c r="A71" s="25" t="s">
        <v>596</v>
      </c>
      <c r="B71" s="24" t="str">
        <f>VLOOKUP($A71,Questions!$A$2:$X$333,2,0)</f>
        <v>Will you allow the institution to perform its own vulnerability testing and/or scanning of your systems and/or application, provided that testing is performed at a mutually agreed upon time and date?*</v>
      </c>
      <c r="C71" s="27" t="s">
        <v>149</v>
      </c>
      <c r="D71" s="337" t="s">
        <v>1772</v>
      </c>
      <c r="E71" s="174" t="str">
        <f>IF($C$18="No",'Auto Responses'!$A$3,IF($C71="Yes",VLOOKUP($A71,Questions!$A$2:$X$333,17,0)&amp;"",IF($C71="No",VLOOKUP($A71,Questions!$A$2:$X$333,16,0)&amp;"",VLOOKUP($A71,Questions!$A$2:$X$333,15,0)&amp;"")))</f>
        <v>Provide a brief summary for your response.</v>
      </c>
      <c r="F71" s="208" t="str">
        <f>VLOOKUP($A71,'Institution Evaluation'!$A$56:$F$346,6,0)&amp;""</f>
        <v/>
      </c>
      <c r="I71" s="42"/>
      <c r="J71" s="42"/>
    </row>
    <row r="72" spans="1:12" s="1" customFormat="1" ht="54" customHeight="1" x14ac:dyDescent="0.25">
      <c r="A72" s="25" t="s">
        <v>599</v>
      </c>
      <c r="B72" s="24" t="str">
        <f>VLOOKUP($A72,Questions!$A$2:$X$333,2,0)</f>
        <v>Have your systems and applications had a third-party security assessment completed in the last year?</v>
      </c>
      <c r="C72" s="27" t="s">
        <v>40</v>
      </c>
      <c r="D72" s="337" t="s">
        <v>1773</v>
      </c>
      <c r="E72" s="174" t="str">
        <f>IF($C$18="No",'Auto Responses'!$A$3,IF($C72="Yes",VLOOKUP($A72,Questions!$A$2:$X$333,17,0)&amp;"",IF($C72="No",VLOOKUP($A72,Questions!$A$2:$X$333,16,0)&amp;"",VLOOKUP($A72,Questions!$A$2:$X$333,15,0)&amp;"")))</f>
        <v>Provide the results with this document (link or attached), if possible. State the date of the last completed third-party security assessment.</v>
      </c>
      <c r="F72" s="208" t="str">
        <f>VLOOKUP($A72,'Institution Evaluation'!$A$56:$F$346,6,0)&amp;""</f>
        <v/>
      </c>
      <c r="I72" s="42"/>
      <c r="J72" s="42"/>
    </row>
    <row r="73" spans="1:12" s="1" customFormat="1" ht="60" customHeight="1" x14ac:dyDescent="0.25">
      <c r="A73" s="25" t="s">
        <v>602</v>
      </c>
      <c r="B73" s="24" t="str">
        <f>VLOOKUP($A73,Questions!$A$2:$X$333,2,0)</f>
        <v>Do you regularly scan for common web application security vulnerabilities (e.g., SQL injection, XSS, XSRF, etc.)?</v>
      </c>
      <c r="C73" s="27" t="s">
        <v>149</v>
      </c>
      <c r="D73" s="337" t="s">
        <v>1774</v>
      </c>
      <c r="E73" s="174" t="str">
        <f>IF($C$18="No",'Auto Responses'!$A$3,IF($C73="Yes",VLOOKUP($A73,Questions!$A$2:$X$333,17,0)&amp;"",IF($C73="No",VLOOKUP($A73,Questions!$A$2:$X$333,16,0)&amp;"",VLOOKUP($A73,Questions!$A$2:$X$333,15,0)&amp;"")))</f>
        <v/>
      </c>
      <c r="F73" s="208" t="str">
        <f>VLOOKUP($A73,'Institution Evaluation'!$A$56:$F$346,6,0)&amp;""</f>
        <v/>
      </c>
      <c r="I73" s="42"/>
      <c r="J73" s="42"/>
    </row>
    <row r="74" spans="1:12" s="1" customFormat="1" ht="56.25" customHeight="1" x14ac:dyDescent="0.25">
      <c r="A74" s="25" t="s">
        <v>604</v>
      </c>
      <c r="B74" s="24" t="str">
        <f>VLOOKUP($A74,Questions!$A$2:$X$333,2,0)</f>
        <v>Are your systems and applications regularly scanned externally for vulnerabilities?</v>
      </c>
      <c r="C74" s="27" t="s">
        <v>40</v>
      </c>
      <c r="D74" s="337" t="s">
        <v>1775</v>
      </c>
      <c r="E74" s="174" t="str">
        <f>IF($C$18="No",'Auto Responses'!$A$3,IF($C74="Yes",VLOOKUP($A74,Questions!$A$2:$X$333,17,0)&amp;"",IF($C74="No",VLOOKUP($A74,Questions!$A$2:$X$333,16,0)&amp;"",VLOOKUP($A74,Questions!$A$2:$X$333,15,0)&amp;"")))</f>
        <v>Decribe your external application vulnerability scanning strategy.</v>
      </c>
      <c r="F74" s="208" t="str">
        <f>VLOOKUP($A74,'Institution Evaluation'!$A$56:$F$346,6,0)&amp;""</f>
        <v/>
      </c>
      <c r="G74" s="255" t="s">
        <v>1531</v>
      </c>
      <c r="H74" s="42"/>
    </row>
    <row r="75" spans="1:12" s="178" customFormat="1" ht="36.75" customHeight="1" x14ac:dyDescent="0.25">
      <c r="A75" s="285" t="s">
        <v>1593</v>
      </c>
      <c r="B75" s="271"/>
      <c r="C75" s="272"/>
      <c r="D75" s="338"/>
      <c r="E75" s="274"/>
      <c r="F75" s="275"/>
      <c r="G75" s="276"/>
      <c r="H75" s="179"/>
    </row>
    <row r="76" spans="1:12" s="1" customFormat="1" ht="15" hidden="1" customHeight="1" x14ac:dyDescent="0.25">
      <c r="A76" s="30"/>
      <c r="C76" s="14"/>
      <c r="D76" s="15"/>
      <c r="E76" s="16"/>
      <c r="I76" s="42"/>
      <c r="J76" s="42"/>
    </row>
    <row r="77" spans="1:12" ht="15" hidden="1" customHeight="1" x14ac:dyDescent="0.25">
      <c r="A77" s="1"/>
      <c r="B77" s="14"/>
      <c r="C77" s="78"/>
      <c r="D77" s="16"/>
      <c r="E77" s="1"/>
      <c r="H77" s="42"/>
      <c r="I77" s="1"/>
      <c r="J77" s="1"/>
      <c r="L77" s="30"/>
    </row>
    <row r="78" spans="1:12" ht="0" hidden="1" customHeight="1" x14ac:dyDescent="0.25">
      <c r="A78" s="25" t="e">
        <f>#REF!</f>
        <v>#REF!</v>
      </c>
    </row>
    <row r="79" spans="1:12" ht="0" hidden="1" customHeight="1" x14ac:dyDescent="0.25">
      <c r="A79" s="25" t="e">
        <f>#REF!</f>
        <v>#REF!</v>
      </c>
    </row>
    <row r="80" spans="1:12" ht="0" hidden="1" customHeight="1" x14ac:dyDescent="0.25">
      <c r="A80" s="25" t="e">
        <f>#REF!</f>
        <v>#REF!</v>
      </c>
    </row>
    <row r="81" spans="1:1" ht="0" hidden="1" customHeight="1" x14ac:dyDescent="0.25">
      <c r="A81" s="25" t="e">
        <f>#REF!</f>
        <v>#REF!</v>
      </c>
    </row>
    <row r="82" spans="1:1" ht="0" hidden="1" customHeight="1" x14ac:dyDescent="0.25">
      <c r="A82" s="25" t="e">
        <f>#REF!</f>
        <v>#REF!</v>
      </c>
    </row>
    <row r="83" spans="1:1" ht="0" hidden="1" customHeight="1" x14ac:dyDescent="0.25">
      <c r="A83" s="25" t="e">
        <f>#REF!</f>
        <v>#REF!</v>
      </c>
    </row>
    <row r="84" spans="1:1" ht="0" hidden="1" customHeight="1" x14ac:dyDescent="0.25">
      <c r="A84" s="25" t="e">
        <f>#REF!</f>
        <v>#REF!</v>
      </c>
    </row>
  </sheetData>
  <dataValidations count="3">
    <dataValidation allowBlank="1" showInputMessage="1" showErrorMessage="1" promptTitle="Warning!" prompt="The HECVAT is built using a number of complex formulas. Editing this cell can break the functionality of the tool. " sqref="C4:C12 A3:A75 C19:D19 C17:D17 C51:D51 C63:D63 C68:D68 C34:D34 D2:F12 C2 B2:B75 E17:F74" xr:uid="{871E98A8-35DA-4B00-A5D2-935B75619CA9}"/>
    <dataValidation allowBlank="1" showInputMessage="1" showErrorMessage="1" prompt="This answer has been populated from the &quot;START HERE&quot; tab and does not need to be re-entered." sqref="C18 C13:C16 C3" xr:uid="{A359637D-68E0-4379-B6B4-68D633131ED0}"/>
    <dataValidation allowBlank="1" showInputMessage="1" showErrorMessage="1" prompt="This cell should be left blank. Input your answer in column C." sqref="D61" xr:uid="{0DA1E363-2115-438E-8E6F-B1F840843C16}"/>
  </dataValidations>
  <hyperlinks>
    <hyperlink ref="A11" r:id="rId1" display="http://www.educause.edu/HECVAT" xr:uid="{BFD1FA5C-33B4-453F-A047-4C5E73726C2C}"/>
  </hyperlinks>
  <pageMargins left="0.75" right="0.75" top="1" bottom="1" header="0.5" footer="0.5"/>
  <pageSetup orientation="landscape" r:id="rId2"/>
  <headerFooter>
    <oddFooter>&amp;L&amp;"Helvetica,Regular"&amp;12&amp;K000000	&amp;P</oddFooter>
  </headerFooter>
  <ignoredErrors>
    <ignoredError sqref="E37"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17EB304F-CC8A-406D-BCB4-3E87BF27F5AB}">
          <x14:formula1>
            <xm:f>'Auto Responses'!$J$17:$J$23</xm:f>
          </x14:formula1>
          <xm:sqref>C35</xm:sqref>
        </x14:dataValidation>
        <x14:dataValidation type="list" allowBlank="1" showInputMessage="1" showErrorMessage="1" xr:uid="{D592F1D7-1304-4313-8BF2-D63F23C31390}">
          <x14:formula1>
            <xm:f>'Auto Responses'!$J$3:$J$4</xm:f>
          </x14:formula1>
          <xm:sqref>C33 C69:C75 C36:C50 C20:C31 C56:C58 C52:C54 C60 C62 C64:C67</xm:sqref>
        </x14:dataValidation>
        <x14:dataValidation type="list" allowBlank="1" showInputMessage="1" showErrorMessage="1" xr:uid="{06173091-EA93-48A5-BB07-55BB51E54BF5}">
          <x14:formula1>
            <xm:f>'Auto Responses'!$J$3:$J$5</xm:f>
          </x14:formula1>
          <xm:sqref>C32 C55 C59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191D-6382-4321-8C35-861D8988BD45}">
  <sheetPr>
    <tabColor rgb="FF00636C"/>
  </sheetPr>
  <dimension ref="A1:L47"/>
  <sheetViews>
    <sheetView showGridLines="0" showZeros="0" topLeftCell="A34" zoomScale="80" zoomScaleNormal="80" workbookViewId="0">
      <selection activeCell="D35" sqref="C25:D37"/>
    </sheetView>
  </sheetViews>
  <sheetFormatPr defaultColWidth="0" defaultRowHeight="0" customHeight="1" zeroHeight="1" x14ac:dyDescent="0.25"/>
  <cols>
    <col min="1" max="1" width="8.265625" customWidth="1"/>
    <col min="2" max="2" width="55.06640625" style="1" customWidth="1"/>
    <col min="3" max="3" width="18.86328125" style="14" customWidth="1"/>
    <col min="4" max="4" width="55.6640625" style="15" customWidth="1"/>
    <col min="5" max="5" width="32" style="16" customWidth="1"/>
    <col min="6" max="6" width="30.6640625" style="1" customWidth="1"/>
    <col min="7" max="7" width="18.06640625" style="1" customWidth="1"/>
    <col min="8" max="8" width="18.06640625" style="1" hidden="1" customWidth="1"/>
    <col min="9" max="10" width="18.06640625" style="42" hidden="1" customWidth="1"/>
    <col min="11" max="11" width="4.46484375" style="1" hidden="1" customWidth="1"/>
    <col min="12" max="12" width="6.59765625" style="1" hidden="1" customWidth="1"/>
    <col min="13" max="16384" width="6.59765625" hidden="1"/>
  </cols>
  <sheetData>
    <row r="1" spans="1:10" ht="0" hidden="1" customHeight="1" x14ac:dyDescent="0.25">
      <c r="A1" t="s">
        <v>1530</v>
      </c>
    </row>
    <row r="2" spans="1:10" ht="36" customHeight="1" x14ac:dyDescent="0.25">
      <c r="A2" s="175" t="s">
        <v>1455</v>
      </c>
      <c r="B2" s="175"/>
      <c r="C2" s="176"/>
      <c r="D2" s="328"/>
      <c r="E2" s="177"/>
      <c r="F2" s="177" t="str">
        <f>'Auto Responses'!$A$36</f>
        <v>Version 4.1.0</v>
      </c>
      <c r="J2" s="1"/>
    </row>
    <row r="3" spans="1:10" s="1" customFormat="1" ht="29.15" customHeight="1" x14ac:dyDescent="0.25">
      <c r="A3" s="44" t="s">
        <v>996</v>
      </c>
      <c r="B3" s="45"/>
      <c r="C3" s="73">
        <f>'START HERE'!$C$3</f>
        <v>45894</v>
      </c>
      <c r="D3" s="329"/>
      <c r="E3" s="43"/>
      <c r="F3" s="57"/>
      <c r="I3" s="42"/>
    </row>
    <row r="4" spans="1:10" s="1" customFormat="1" ht="36" customHeight="1" x14ac:dyDescent="0.25">
      <c r="A4" s="17" t="s">
        <v>921</v>
      </c>
      <c r="B4" s="18"/>
      <c r="C4" s="19"/>
      <c r="D4" s="20"/>
      <c r="E4" s="21"/>
      <c r="F4" s="21"/>
      <c r="I4" s="42"/>
    </row>
    <row r="5" spans="1:10" s="1" customFormat="1" ht="19.5" customHeight="1" x14ac:dyDescent="0.25">
      <c r="A5" s="49" t="str">
        <f>HLOOKUP($A$4,'Auto Responses'!$D$2:$D$8,2,0)&amp;""</f>
        <v>1. Complete the "Start Here" tab and review the "Required Questions" guidance to find the other sections are required for your product or service.</v>
      </c>
      <c r="B5" s="22"/>
      <c r="C5" s="74"/>
      <c r="D5" s="330"/>
      <c r="E5" s="22"/>
      <c r="F5" s="279"/>
      <c r="I5" s="42"/>
    </row>
    <row r="6" spans="1:10" s="1" customFormat="1" ht="19.5" customHeight="1" x14ac:dyDescent="0.25">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10" s="1" customFormat="1" ht="19.5" customHeight="1" x14ac:dyDescent="0.25">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10" s="1" customFormat="1" ht="19.5" customHeight="1" x14ac:dyDescent="0.25">
      <c r="A8" s="49" t="str">
        <f>HLOOKUP($A$4,'Auto Responses'!$D$2:$D$8,5,0)&amp;""</f>
        <v>4. DO NOT complete any fields in the "Evaluation" sheets or the "Analyst Notes" column.</v>
      </c>
      <c r="B8" s="22"/>
      <c r="C8" s="74"/>
      <c r="D8" s="330"/>
      <c r="E8" s="22"/>
      <c r="F8" s="280"/>
      <c r="I8" s="42"/>
    </row>
    <row r="9" spans="1:10" s="1" customFormat="1" ht="19.5" customHeight="1" x14ac:dyDescent="0.25">
      <c r="A9" s="49" t="str">
        <f>HLOOKUP($A$4,'Auto Responses'!$D$2:$D$8,6,0)&amp;""</f>
        <v>5. Return the completed file to institutions.</v>
      </c>
      <c r="B9" s="22"/>
      <c r="C9" s="74"/>
      <c r="D9" s="330"/>
      <c r="E9" s="22"/>
      <c r="F9" s="280"/>
      <c r="I9" s="42"/>
    </row>
    <row r="10" spans="1:10" s="1" customFormat="1" ht="19.5" customHeight="1" x14ac:dyDescent="0.25">
      <c r="A10" s="265" t="str">
        <f>HLOOKUP($A$4,'Auto Responses'!$D$2:$D$8,7,0)&amp;""</f>
        <v>* Denotes critical questions. Critical questions are those deemed most important to institutions by higher education volunteers.</v>
      </c>
      <c r="B10" s="22"/>
      <c r="C10" s="74"/>
      <c r="D10" s="330"/>
      <c r="E10" s="22"/>
      <c r="F10" s="280"/>
      <c r="I10" s="42"/>
    </row>
    <row r="11" spans="1:10" s="1" customFormat="1" ht="19.5" customHeight="1" x14ac:dyDescent="0.25">
      <c r="A11" s="264" t="str">
        <f>HLOOKUP($A$4,'Auto Responses'!$D$2:$D$9,8,0)&amp;""</f>
        <v>For full instructions, please visit educause.edu/HECVAT</v>
      </c>
      <c r="B11" s="22"/>
      <c r="C11" s="74"/>
      <c r="D11" s="330"/>
      <c r="E11" s="22"/>
      <c r="F11" s="281"/>
      <c r="I11" s="42"/>
    </row>
    <row r="12" spans="1:10" s="1" customFormat="1" ht="36" customHeight="1" x14ac:dyDescent="0.25">
      <c r="A12" s="70" t="str">
        <f>VLOOKUP(LEFT($A13,4),'Auto Responses'!$N$4:$O$38,2,0)&amp;""</f>
        <v xml:space="preserve"> General Information</v>
      </c>
      <c r="B12" s="18"/>
      <c r="C12" s="19" t="s">
        <v>1583</v>
      </c>
      <c r="D12" s="331"/>
      <c r="E12" s="23"/>
      <c r="F12" s="23"/>
      <c r="I12" s="42"/>
      <c r="J12" s="42"/>
    </row>
    <row r="13" spans="1:10" s="1" customFormat="1" ht="22.4" customHeight="1" x14ac:dyDescent="0.25">
      <c r="A13" s="25" t="s">
        <v>21</v>
      </c>
      <c r="B13" s="26" t="str">
        <f>VLOOKUP($A13,Questions!$A$2:$X$333,2,0)&amp;""</f>
        <v>Solution Provider Name</v>
      </c>
      <c r="C13" s="83" t="str">
        <f>VLOOKUP($A13,'START HERE'!$A$13:$C$21,3,0)&amp;""</f>
        <v xml:space="preserve">Cirrus Identity </v>
      </c>
      <c r="D13" s="39"/>
      <c r="E13" s="39"/>
      <c r="F13" s="57"/>
      <c r="I13" s="42"/>
      <c r="J13" s="42"/>
    </row>
    <row r="14" spans="1:10" s="1" customFormat="1" ht="22.4" customHeight="1" x14ac:dyDescent="0.25">
      <c r="A14" s="25" t="s">
        <v>24</v>
      </c>
      <c r="B14" s="26" t="str">
        <f>VLOOKUP($A14,Questions!$A$2:$X$333,2,0)&amp;""</f>
        <v>Solution Name</v>
      </c>
      <c r="C14" s="83" t="str">
        <f>VLOOKUP($A14,'START HERE'!$A$13:$C$21,3,0)&amp;""</f>
        <v>Cirrus Identity Gateway, Cirrus Identity Proxy, Cirrus Identity Bridge, Cirrus Identity Attribute Authority, Cirrus Identity Invitation, Cirrus Identity Account Linking, Cirrus Identity OrgBrandedID, and Cirrus Identity MFA -- Collective referred to as Cirrus Identity Products</v>
      </c>
      <c r="D14" s="39"/>
      <c r="E14" s="39"/>
      <c r="F14" s="57"/>
      <c r="I14" s="42"/>
      <c r="J14" s="42"/>
    </row>
    <row r="15" spans="1:10" s="1" customFormat="1" ht="22.4" customHeight="1" x14ac:dyDescent="0.25">
      <c r="A15" s="25" t="s">
        <v>25</v>
      </c>
      <c r="B15" s="26" t="str">
        <f>VLOOKUP($A15,Questions!$A$2:$X$333,2,0)&amp;""</f>
        <v>Solution Description</v>
      </c>
      <c r="C15" s="83" t="str">
        <f>VLOOKUP($A15,'START HERE'!$A$13:$C$21,3,0)&amp;""</f>
        <v>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v>
      </c>
      <c r="D15" s="39"/>
      <c r="E15" s="39"/>
      <c r="F15" s="57"/>
      <c r="I15" s="42"/>
      <c r="J15" s="42"/>
    </row>
    <row r="16" spans="1:10" s="1" customFormat="1" ht="22.4" customHeight="1" thickBot="1" x14ac:dyDescent="0.3">
      <c r="A16" s="25" t="s">
        <v>30</v>
      </c>
      <c r="B16" s="26" t="str">
        <f>VLOOKUP($A16,Questions!$A$2:$X$333,2,0)&amp;""</f>
        <v>Country of Company Headquarters</v>
      </c>
      <c r="C16" s="83" t="str">
        <f>VLOOKUP($A16,'START HERE'!$A$13:$C$21,3,0)&amp;""</f>
        <v>United States</v>
      </c>
      <c r="D16" s="39"/>
      <c r="E16" s="39"/>
      <c r="F16" s="57"/>
      <c r="I16" s="42"/>
      <c r="J16" s="42"/>
    </row>
    <row r="17" spans="1:10" s="1" customFormat="1" ht="37.4" customHeight="1" thickBot="1" x14ac:dyDescent="0.3">
      <c r="A17" s="70" t="str">
        <f>VLOOKUP(LEFT($A18,4),'Auto Responses'!$N$4:$O$38,2,0)&amp;""</f>
        <v xml:space="preserve"> Required Questions</v>
      </c>
      <c r="B17" s="29"/>
      <c r="C17" s="19" t="s">
        <v>1583</v>
      </c>
      <c r="D17" s="19"/>
      <c r="E17" s="38" t="s">
        <v>904</v>
      </c>
      <c r="F17" s="194" t="s">
        <v>905</v>
      </c>
      <c r="I17" s="42"/>
      <c r="J17" s="42"/>
    </row>
    <row r="18" spans="1:10" s="1" customFormat="1" ht="54" customHeight="1" thickBot="1" x14ac:dyDescent="0.3">
      <c r="A18" s="25" t="s">
        <v>51</v>
      </c>
      <c r="B18" s="24" t="str">
        <f>VLOOKUP($A18,Questions!$A$2:$X$333,2,0)</f>
        <v>Does your product or service have an interface?</v>
      </c>
      <c r="C18" s="79" t="str">
        <f>VLOOKUP($A18,'START HERE'!$A$23:$F$36,3,0)&amp;""</f>
        <v>Yes</v>
      </c>
      <c r="D18" s="332" t="str">
        <f>VLOOKUP($A18,'START HERE'!$A$23:$F$36,4,0)&amp;""</f>
        <v/>
      </c>
      <c r="E18" s="174" t="str">
        <f>IF($C18="Yes",VLOOKUP($A18,Questions!$A$2:$X$333,17,0)&amp;"",IF($C18="No",VLOOKUP($A18,Questions!$A$2:$X$333,16,0)&amp;"",VLOOKUP($A18,Questions!$A$2:$X$333,15,0)&amp;""))</f>
        <v>DO complete the IT Accessibility worksheet.</v>
      </c>
      <c r="F18" s="208" t="str">
        <f>VLOOKUP($A18,'Institution Evaluation'!$A$56:$F$346,6,0)&amp;""</f>
        <v/>
      </c>
      <c r="G18" s="255" t="s">
        <v>1531</v>
      </c>
      <c r="I18" s="42"/>
      <c r="J18" s="42"/>
    </row>
    <row r="19" spans="1:10" s="1" customFormat="1" ht="37.4" customHeight="1" thickBot="1" x14ac:dyDescent="0.3">
      <c r="A19" s="70" t="str">
        <f>VLOOKUP(LEFT($A20,4),'Auto Responses'!$N$4:$O$38,2,0)&amp;""</f>
        <v xml:space="preserve"> IT Accessibility</v>
      </c>
      <c r="B19" s="29"/>
      <c r="C19" s="19" t="s">
        <v>1583</v>
      </c>
      <c r="D19" s="19" t="s">
        <v>72</v>
      </c>
      <c r="E19" s="38" t="s">
        <v>904</v>
      </c>
      <c r="F19" s="194" t="s">
        <v>905</v>
      </c>
      <c r="I19" s="42"/>
      <c r="J19" s="42"/>
    </row>
    <row r="20" spans="1:10" s="1" customFormat="1" ht="30" customHeight="1" x14ac:dyDescent="0.25">
      <c r="A20" s="25" t="s">
        <v>93</v>
      </c>
      <c r="B20" s="24" t="str">
        <f>VLOOKUP($A20,Questions!$A$2:$X$333,2,0)</f>
        <v>Solution Provider Accessibility Contact Name</v>
      </c>
      <c r="C20" s="84" t="s">
        <v>1776</v>
      </c>
      <c r="D20" s="333"/>
      <c r="E20" s="174" t="str">
        <f>IF($C$18="No",'Auto Responses'!$A$4,IF($C20="Yes",VLOOKUP($A20,Questions!$A$2:$X$333,17,0)&amp;"",IF($C20="No",VLOOKUP($A20,Questions!$A$2:$X$333,16,0)&amp;"",VLOOKUP($A20,Questions!$A$2:$X$333,15,0)&amp;"")))</f>
        <v/>
      </c>
      <c r="F20" s="208" t="str">
        <f>VLOOKUP($A20,'Institution Evaluation'!$A$56:$F$346,6,0)&amp;""</f>
        <v/>
      </c>
      <c r="I20" s="42"/>
      <c r="J20" s="42"/>
    </row>
    <row r="21" spans="1:10" s="1" customFormat="1" ht="30" customHeight="1" x14ac:dyDescent="0.25">
      <c r="A21" s="25" t="s">
        <v>94</v>
      </c>
      <c r="B21" s="24" t="str">
        <f>VLOOKUP($A21,Questions!$A$2:$X$333,2,0)</f>
        <v>Solution Provider Accessibility Contact Title</v>
      </c>
      <c r="C21" s="84" t="s">
        <v>1777</v>
      </c>
      <c r="D21" s="333"/>
      <c r="E21" s="174" t="str">
        <f>IF($C$18="No",'Auto Responses'!$A$4,IF($C21="Yes",VLOOKUP($A21,Questions!$A$2:$X$333,17,0)&amp;"",IF($C21="No",VLOOKUP($A21,Questions!$A$2:$X$333,16,0)&amp;"",VLOOKUP($A21,Questions!$A$2:$X$333,15,0)&amp;"")))</f>
        <v/>
      </c>
      <c r="F21" s="208" t="str">
        <f>VLOOKUP($A21,'Institution Evaluation'!$A$56:$F$346,6,0)&amp;""</f>
        <v/>
      </c>
      <c r="I21" s="42"/>
      <c r="J21" s="42"/>
    </row>
    <row r="22" spans="1:10" s="1" customFormat="1" ht="30" customHeight="1" x14ac:dyDescent="0.25">
      <c r="A22" s="25" t="s">
        <v>95</v>
      </c>
      <c r="B22" s="24" t="str">
        <f>VLOOKUP($A22,Questions!$A$2:$X$333,2,0)</f>
        <v>Solution Provider Accessibility Contact Email</v>
      </c>
      <c r="C22" s="84" t="s">
        <v>1650</v>
      </c>
      <c r="D22" s="333"/>
      <c r="E22" s="174" t="str">
        <f>IF($C$18="No",'Auto Responses'!$A$4,IF($C22="Yes",VLOOKUP($A22,Questions!$A$2:$X$333,17,0)&amp;"",IF($C22="No",VLOOKUP($A22,Questions!$A$2:$X$333,16,0)&amp;"",VLOOKUP($A22,Questions!$A$2:$X$333,15,0)&amp;"")))</f>
        <v/>
      </c>
      <c r="F22" s="208" t="str">
        <f>VLOOKUP($A22,'Institution Evaluation'!$A$56:$F$346,6,0)&amp;""</f>
        <v/>
      </c>
      <c r="I22" s="42"/>
      <c r="J22" s="42"/>
    </row>
    <row r="23" spans="1:10" s="1" customFormat="1" ht="30" customHeight="1" x14ac:dyDescent="0.25">
      <c r="A23" s="25" t="s">
        <v>96</v>
      </c>
      <c r="B23" s="24" t="str">
        <f>VLOOKUP($A23,Questions!$A$2:$X$333,2,0)</f>
        <v>Solution Provider Accessibility Contact Phone Number</v>
      </c>
      <c r="C23" s="84" t="s">
        <v>1651</v>
      </c>
      <c r="D23" s="333"/>
      <c r="E23" s="174" t="str">
        <f>IF($C$18="No",'Auto Responses'!$A$4,IF($C23="Yes",VLOOKUP($A23,Questions!$A$2:$X$333,17,0)&amp;"",IF($C23="No",VLOOKUP($A23,Questions!$A$2:$X$333,16,0)&amp;"",VLOOKUP($A23,Questions!$A$2:$X$333,15,0)&amp;"")))</f>
        <v/>
      </c>
      <c r="F23" s="208" t="str">
        <f>VLOOKUP($A23,'Institution Evaluation'!$A$56:$F$346,6,0)&amp;""</f>
        <v/>
      </c>
      <c r="I23" s="42"/>
      <c r="J23" s="42"/>
    </row>
    <row r="24" spans="1:10" s="1" customFormat="1" ht="30" customHeight="1" x14ac:dyDescent="0.25">
      <c r="A24" s="25" t="s">
        <v>97</v>
      </c>
      <c r="B24" s="24" t="str">
        <f>VLOOKUP($A24,Questions!$A$2:$X$333,2,0)</f>
        <v>Web Link to Accessibility Statement or VPAT</v>
      </c>
      <c r="C24" s="84" t="s">
        <v>1778</v>
      </c>
      <c r="D24" s="333"/>
      <c r="E24" s="174" t="str">
        <f>IF($C$18="No",'Auto Responses'!$A$4,IF($C24="Yes",VLOOKUP($A24,Questions!$A$2:$X$333,17,0)&amp;"",IF($C24="No",VLOOKUP($A24,Questions!$A$2:$X$333,16,0)&amp;"",VLOOKUP($A24,Questions!$A$2:$X$333,15,0)&amp;"")))</f>
        <v>VPAT can also be added as an attachment</v>
      </c>
      <c r="F24" s="208" t="str">
        <f>VLOOKUP($A24,'Institution Evaluation'!$A$56:$F$346,6,0)&amp;""</f>
        <v/>
      </c>
      <c r="I24" s="42"/>
      <c r="J24" s="42"/>
    </row>
    <row r="25" spans="1:10" s="1" customFormat="1" ht="136.5" customHeight="1" x14ac:dyDescent="0.25">
      <c r="A25" s="25" t="s">
        <v>101</v>
      </c>
      <c r="B25" s="24" t="str">
        <f>VLOOKUP($A25,Questions!$A$2:$X$333,2,0)</f>
        <v>Has a VPAT or ACR been created or updated for the solution and version under consideration within the past 12 months?*</v>
      </c>
      <c r="C25" s="27" t="s">
        <v>40</v>
      </c>
      <c r="D25" s="333" t="s">
        <v>1779</v>
      </c>
      <c r="E25" s="174" t="str">
        <f>IF($C$18="No",'Auto Responses'!$A$4,IF($C25="Yes",VLOOKUP($A25,Questions!$A$2:$X$333,17,0)&amp;"",IF($C25="No",VLOOKUP($A25,Questions!$A$2:$X$333,16,0)&amp;"",VLOOKUP($A25,Questions!$A$2:$X$333,15,0)&amp;"")))</f>
        <v>State the date the VPAT was completed. Include this VPAT in your submission and/or link to its web location.</v>
      </c>
      <c r="F25" s="208" t="str">
        <f>VLOOKUP($A25,'Institution Evaluation'!$A$56:$F$346,6,0)&amp;""</f>
        <v/>
      </c>
      <c r="I25" s="42"/>
      <c r="J25" s="42"/>
    </row>
    <row r="26" spans="1:10" s="1" customFormat="1" ht="82.5" customHeight="1" x14ac:dyDescent="0.25">
      <c r="A26" s="25" t="s">
        <v>103</v>
      </c>
      <c r="B26" s="24" t="str">
        <f>VLOOKUP($A26,Questions!$A$2:$X$333,2,0)</f>
        <v>Will your company agree to meet your stated accessibility standard or WCAG 2.1 AA as part of your contractual agreement for the solution?*</v>
      </c>
      <c r="C26" s="27" t="s">
        <v>40</v>
      </c>
      <c r="D26" s="333" t="s">
        <v>1780</v>
      </c>
      <c r="E26" s="174" t="str">
        <f>IF($C$18="No",'Auto Responses'!$A$4,IF($C26="Yes",VLOOKUP($A26,Questions!$A$2:$X$333,17,0)&amp;"",IF($C26="No",VLOOKUP($A26,Questions!$A$2:$X$333,16,0)&amp;"",VLOOKUP($A26,Questions!$A$2:$X$333,15,0)&amp;"")))</f>
        <v/>
      </c>
      <c r="F26" s="208" t="str">
        <f>VLOOKUP($A26,'Institution Evaluation'!$A$56:$F$346,6,0)&amp;""</f>
        <v/>
      </c>
      <c r="I26" s="42"/>
      <c r="J26" s="42"/>
    </row>
    <row r="27" spans="1:10" s="1" customFormat="1" ht="161.25" customHeight="1" x14ac:dyDescent="0.25">
      <c r="A27" s="25" t="s">
        <v>106</v>
      </c>
      <c r="B27" s="24" t="str">
        <f>VLOOKUP($A27,Questions!$A$2:$X$333,2,0)</f>
        <v>Does the solution substantially conform to WCAG 2.1 AA?*</v>
      </c>
      <c r="C27" s="27" t="s">
        <v>40</v>
      </c>
      <c r="D27" s="333" t="s">
        <v>1780</v>
      </c>
      <c r="E27" s="174" t="str">
        <f>IF($C$18="No",'Auto Responses'!$A$4,IF($C27="Yes",VLOOKUP($A27,Questions!$A$2:$X$333,17,0)&amp;"",IF($C27="No",VLOOKUP($A27,Questions!$A$2:$X$333,16,0)&amp;"",VLOOKUP($A27,Questions!$A$2:$X$333,15,0)&amp;"")))</f>
        <v/>
      </c>
      <c r="F27" s="208" t="str">
        <f>VLOOKUP($A27,'Institution Evaluation'!$A$56:$F$346,6,0)&amp;""</f>
        <v/>
      </c>
      <c r="I27" s="42"/>
      <c r="J27" s="42"/>
    </row>
    <row r="28" spans="1:10" s="1" customFormat="1" ht="104.25" customHeight="1" x14ac:dyDescent="0.25">
      <c r="A28" s="25" t="s">
        <v>108</v>
      </c>
      <c r="B28" s="24" t="str">
        <f>VLOOKUP($A28,Questions!$A$2:$X$333,2,0)</f>
        <v>Do you have a documented and implemented process for reporting and tracking accessibility issues?*</v>
      </c>
      <c r="C28" s="27" t="s">
        <v>40</v>
      </c>
      <c r="D28" s="333" t="s">
        <v>1781</v>
      </c>
      <c r="E28" s="174" t="str">
        <f>IF($C$18="No",'Auto Responses'!$A$4,IF($C28="Yes",VLOOKUP($A28,Questions!$A$2:$X$333,17,0)&amp;"",IF($C28="No",VLOOKUP($A28,Questions!$A$2:$X$333,16,0)&amp;"",VLOOKUP($A28,Questions!$A$2:$X$333,15,0)&amp;"")))</f>
        <v>Describe the process and any recent examples of fixes as a result of the process.</v>
      </c>
      <c r="F28" s="208" t="str">
        <f>VLOOKUP($A28,'Institution Evaluation'!$A$56:$F$346,6,0)&amp;""</f>
        <v/>
      </c>
      <c r="I28" s="42"/>
      <c r="J28" s="42"/>
    </row>
    <row r="29" spans="1:10" s="1" customFormat="1" ht="104.25" customHeight="1" x14ac:dyDescent="0.25">
      <c r="A29" s="25" t="s">
        <v>111</v>
      </c>
      <c r="B29" s="24" t="str">
        <f>VLOOKUP($A29,Questions!$A$2:$X$333,2,0)</f>
        <v>Do you have documentation to support the accessibility features of your solution?</v>
      </c>
      <c r="C29" s="27" t="s">
        <v>40</v>
      </c>
      <c r="D29" s="333" t="s">
        <v>1827</v>
      </c>
      <c r="E29" s="174" t="str">
        <f>IF($C$18="No",'Auto Responses'!$A$4,IF($C29="Yes",VLOOKUP($A29,Questions!$A$2:$X$333,17,0)&amp;"",IF($C29="No",VLOOKUP($A29,Questions!$A$2:$X$333,16,0)&amp;"",VLOOKUP($A29,Questions!$A$2:$X$333,15,0)&amp;"")))</f>
        <v>Provide examples with links where possible.</v>
      </c>
      <c r="F29" s="208" t="str">
        <f>VLOOKUP($A29,'Institution Evaluation'!$A$56:$F$346,6,0)&amp;""</f>
        <v/>
      </c>
      <c r="I29" s="42"/>
      <c r="J29" s="42"/>
    </row>
    <row r="30" spans="1:10" s="1" customFormat="1" ht="93.75" customHeight="1" x14ac:dyDescent="0.25">
      <c r="A30" s="25" t="s">
        <v>112</v>
      </c>
      <c r="B30" s="24" t="str">
        <f>VLOOKUP($A30,Questions!$A$2:$X$333,2,0)</f>
        <v>Has a third-party expert conducted an audit of the most recent version of your solution?</v>
      </c>
      <c r="C30" s="27" t="s">
        <v>149</v>
      </c>
      <c r="D30" s="333" t="s">
        <v>1782</v>
      </c>
      <c r="E30" s="174" t="str">
        <f>IF($C$18="No",'Auto Responses'!$A$4,IF($C30="Yes",VLOOKUP($A30,Questions!$A$2:$X$333,17,0)&amp;"",IF($C30="No",VLOOKUP($A30,Questions!$A$2:$X$333,16,0)&amp;"",VLOOKUP($A30,Questions!$A$2:$X$333,15,0)&amp;"")))</f>
        <v>Please provide plans (when and by whom) of any planned audit, or a rationale if no third-party audit is planned.</v>
      </c>
      <c r="F30" s="208" t="str">
        <f>VLOOKUP($A30,'Institution Evaluation'!$A$56:$F$346,6,0)&amp;""</f>
        <v/>
      </c>
      <c r="I30" s="42"/>
      <c r="J30" s="42"/>
    </row>
    <row r="31" spans="1:10" s="1" customFormat="1" ht="120" customHeight="1" x14ac:dyDescent="0.25">
      <c r="A31" s="25" t="s">
        <v>113</v>
      </c>
      <c r="B31" s="24" t="str">
        <f>VLOOKUP($A31,Questions!$A$2:$X$333,2,0)</f>
        <v>Do you have a documented and implemented process for verifying accessibility conformance?</v>
      </c>
      <c r="C31" s="27" t="s">
        <v>40</v>
      </c>
      <c r="D31" s="333" t="s">
        <v>1783</v>
      </c>
      <c r="E31" s="174" t="str">
        <f>IF($C$18="No",'Auto Responses'!$A$4,IF($C31="Yes",VLOOKUP($A31,Questions!$A$2:$X$333,17,0)&amp;"",IF($C31="No",VLOOKUP($A31,Questions!$A$2:$X$333,16,0)&amp;"",VLOOKUP($A31,Questions!$A$2:$X$333,15,0)&amp;"")))</f>
        <v>Describe your processes and methodologies for validating accessibility conformance.</v>
      </c>
      <c r="F31" s="208" t="str">
        <f>VLOOKUP($A31,'Institution Evaluation'!$A$56:$F$346,6,0)&amp;""</f>
        <v/>
      </c>
      <c r="I31" s="42"/>
      <c r="J31" s="42"/>
    </row>
    <row r="32" spans="1:10" s="1" customFormat="1" ht="108" customHeight="1" x14ac:dyDescent="0.25">
      <c r="A32" s="25" t="s">
        <v>114</v>
      </c>
      <c r="B32" s="24" t="str">
        <f>VLOOKUP($A32,Questions!$A$2:$X$333,2,0)</f>
        <v>Have you adopted a technical or legal standard of conformance for the solution?</v>
      </c>
      <c r="C32" s="27" t="s">
        <v>40</v>
      </c>
      <c r="D32" s="333" t="s">
        <v>1784</v>
      </c>
      <c r="E32" s="174" t="str">
        <f>IF($C$18="No",'Auto Responses'!$A$4,IF($C32="Yes",VLOOKUP($A32,Questions!$A$2:$X$333,17,0)&amp;"",IF($C32="No",VLOOKUP($A32,Questions!$A$2:$X$333,16,0)&amp;"",VLOOKUP($A32,Questions!$A$2:$X$333,15,0)&amp;"")))</f>
        <v>Indicate which primary standards and all additional standards the solution meets.</v>
      </c>
      <c r="F32" s="208" t="str">
        <f>VLOOKUP($A32,'Institution Evaluation'!$A$56:$F$346,6,0)&amp;""</f>
        <v/>
      </c>
      <c r="I32" s="42"/>
      <c r="J32" s="42"/>
    </row>
    <row r="33" spans="1:12" s="1" customFormat="1" ht="228" customHeight="1" x14ac:dyDescent="0.25">
      <c r="A33" s="25" t="s">
        <v>116</v>
      </c>
      <c r="B33" s="24" t="str">
        <f>VLOOKUP($A33,Questions!$A$2:$X$333,2,0)</f>
        <v>Can you provide a current, detailed accessibility roadmap with delivery timelines?</v>
      </c>
      <c r="C33" s="27" t="s">
        <v>40</v>
      </c>
      <c r="D33" s="333" t="s">
        <v>1828</v>
      </c>
      <c r="E33" s="174" t="str">
        <f>IF($C$18="No",'Auto Responses'!$A$4,IF($C33="Yes",VLOOKUP($A33,Questions!$A$2:$X$333,17,0)&amp;"",IF($C33="No",VLOOKUP($A33,Questions!$A$2:$X$333,16,0)&amp;"",VLOOKUP($A33,Questions!$A$2:$X$333,15,0)&amp;"")))</f>
        <v>Comment on how far into the future the roadmap extends. Provide evidence (including links) of having delivered upon the accessibility roadmap in the past.</v>
      </c>
      <c r="F33" s="208" t="str">
        <f>VLOOKUP($A33,'Institution Evaluation'!$A$56:$F$346,6,0)&amp;""</f>
        <v/>
      </c>
      <c r="I33" s="42"/>
      <c r="J33" s="42"/>
    </row>
    <row r="34" spans="1:12" s="1" customFormat="1" ht="213" customHeight="1" x14ac:dyDescent="0.25">
      <c r="A34" s="25" t="s">
        <v>120</v>
      </c>
      <c r="B34" s="24" t="str">
        <f>VLOOKUP($A34,Questions!$A$2:$X$333,2,0)</f>
        <v>Do you expect your staff to maintain a current skill set in IT accessibility?</v>
      </c>
      <c r="C34" s="27" t="s">
        <v>149</v>
      </c>
      <c r="D34" s="333" t="s">
        <v>1785</v>
      </c>
      <c r="E34" s="174" t="str">
        <f>IF($C$18="No",'Auto Responses'!$A$4,IF($C34="Yes",VLOOKUP($A34,Questions!$A$2:$X$333,17,0)&amp;"",IF($C34="No",VLOOKUP($A34,Questions!$A$2:$X$333,16,0)&amp;"",VLOOKUP($A34,Questions!$A$2:$X$333,15,0)&amp;"")))</f>
        <v>Describe any plans to ensure appropriate and ongoing staff knowledge about accessibility.</v>
      </c>
      <c r="F34" s="208" t="str">
        <f>VLOOKUP($A34,'Institution Evaluation'!$A$56:$F$346,6,0)&amp;""</f>
        <v/>
      </c>
      <c r="I34" s="42"/>
      <c r="J34" s="42"/>
    </row>
    <row r="35" spans="1:12" s="1" customFormat="1" ht="213" customHeight="1" x14ac:dyDescent="0.25">
      <c r="A35" s="25" t="s">
        <v>123</v>
      </c>
      <c r="B35" s="24" t="str">
        <f>VLOOKUP($A35,Questions!$A$2:$X$333,2,0)</f>
        <v>Do you have documented processes and procedures for implementing accessibility into your development lifecycle?</v>
      </c>
      <c r="C35" s="27" t="s">
        <v>40</v>
      </c>
      <c r="D35" s="333" t="s">
        <v>1829</v>
      </c>
      <c r="E35" s="174" t="str">
        <f>IF($C$18="No",'Auto Responses'!$A$4,IF($C35="Yes",VLOOKUP($A35,Questions!$A$2:$X$333,17,0)&amp;"",IF($C35="No",VLOOKUP($A35,Questions!$A$2:$X$333,16,0)&amp;"",VLOOKUP($A35,Questions!$A$2:$X$333,15,0)&amp;"")))</f>
        <v>Provide further details in Additional Information.</v>
      </c>
      <c r="F35" s="208" t="str">
        <f>VLOOKUP($A35,'Institution Evaluation'!$A$56:$F$346,6,0)&amp;""</f>
        <v/>
      </c>
      <c r="I35" s="42"/>
      <c r="J35" s="42"/>
    </row>
    <row r="36" spans="1:12" s="1" customFormat="1" ht="38.25" customHeight="1" x14ac:dyDescent="0.25">
      <c r="A36" s="25" t="s">
        <v>126</v>
      </c>
      <c r="B36" s="24" t="str">
        <f>VLOOKUP($A36,Questions!$A$2:$X$333,2,0)</f>
        <v>Can all functions of the application or service be performed using only the keyboard?</v>
      </c>
      <c r="C36" s="27" t="s">
        <v>40</v>
      </c>
      <c r="D36" s="333" t="s">
        <v>1786</v>
      </c>
      <c r="E36" s="174" t="str">
        <f>IF($C$18="No",'Auto Responses'!$A$4,IF($C36="Yes",VLOOKUP($A36,Questions!$A$2:$X$333,17,0)&amp;"",IF($C36="No",VLOOKUP($A36,Questions!$A$2:$X$333,16,0)&amp;"",VLOOKUP($A36,Questions!$A$2:$X$333,15,0)&amp;"")))</f>
        <v>State when and on which platform this was verified.</v>
      </c>
      <c r="F36" s="208" t="str">
        <f>VLOOKUP($A36,'Institution Evaluation'!$A$56:$F$346,6,0)&amp;""</f>
        <v/>
      </c>
      <c r="I36" s="42"/>
      <c r="J36" s="42"/>
    </row>
    <row r="37" spans="1:12" s="1" customFormat="1" ht="127.5" customHeight="1" x14ac:dyDescent="0.25">
      <c r="A37" s="25" t="s">
        <v>129</v>
      </c>
      <c r="B37" s="24" t="str">
        <f>VLOOKUP($A37,Questions!$A$2:$X$333,2,0)</f>
        <v>Does your product rely on activating a special "accessibility mode," a "lite version," or using an alternate interface (including “overlay” or AI-based alternates)  for accessibility purposes?</v>
      </c>
      <c r="C37" s="27" t="s">
        <v>149</v>
      </c>
      <c r="D37" s="333"/>
      <c r="E37" s="174" t="str">
        <f>IF($C$18="No",'Auto Responses'!$A$4,IF($C37="Yes",VLOOKUP($A37,Questions!$A$2:$X$333,17,0)&amp;"",IF($C37="No",VLOOKUP($A37,Questions!$A$2:$X$333,16,0)&amp;"",VLOOKUP($A37,Questions!$A$2:$X$333,15,0)&amp;"")))</f>
        <v/>
      </c>
      <c r="F37" s="208" t="str">
        <f>VLOOKUP($A37,'Institution Evaluation'!$A$56:$F$346,6,0)&amp;""</f>
        <v/>
      </c>
      <c r="G37" s="255" t="s">
        <v>1531</v>
      </c>
      <c r="I37" s="42"/>
      <c r="J37" s="42"/>
    </row>
    <row r="38" spans="1:12" s="178" customFormat="1" ht="42" customHeight="1" x14ac:dyDescent="0.25">
      <c r="A38" s="285" t="s">
        <v>1593</v>
      </c>
      <c r="B38" s="271"/>
      <c r="C38" s="272"/>
      <c r="D38" s="334"/>
      <c r="E38" s="274"/>
      <c r="F38" s="275"/>
      <c r="G38" s="276"/>
      <c r="I38" s="179"/>
      <c r="J38" s="179"/>
    </row>
    <row r="39" spans="1:12" s="1" customFormat="1" ht="15" hidden="1" customHeight="1" x14ac:dyDescent="0.25">
      <c r="A39"/>
      <c r="C39" s="14"/>
      <c r="D39" s="15"/>
      <c r="E39" s="16"/>
      <c r="I39" s="42"/>
      <c r="J39" s="42"/>
    </row>
    <row r="40" spans="1:12" ht="15" hidden="1" customHeight="1" x14ac:dyDescent="0.25">
      <c r="A40" s="1"/>
      <c r="B40" s="14"/>
      <c r="C40" s="78"/>
      <c r="D40" s="16"/>
      <c r="E40" s="1"/>
      <c r="H40" s="42"/>
      <c r="I40" s="1"/>
      <c r="J40" s="1"/>
      <c r="L40"/>
    </row>
    <row r="41" spans="1:12" ht="0" hidden="1" customHeight="1" x14ac:dyDescent="0.25">
      <c r="A41" s="25" t="e">
        <f>#REF!</f>
        <v>#REF!</v>
      </c>
    </row>
    <row r="42" spans="1:12" ht="0" hidden="1" customHeight="1" x14ac:dyDescent="0.25">
      <c r="A42" s="25" t="e">
        <f>#REF!</f>
        <v>#REF!</v>
      </c>
    </row>
    <row r="43" spans="1:12" ht="0" hidden="1" customHeight="1" x14ac:dyDescent="0.25">
      <c r="A43" s="25" t="e">
        <f>#REF!</f>
        <v>#REF!</v>
      </c>
    </row>
    <row r="44" spans="1:12" ht="0" hidden="1" customHeight="1" x14ac:dyDescent="0.25">
      <c r="A44" s="25" t="e">
        <f>#REF!</f>
        <v>#REF!</v>
      </c>
    </row>
    <row r="45" spans="1:12" ht="0" hidden="1" customHeight="1" x14ac:dyDescent="0.25">
      <c r="A45" s="25" t="e">
        <f>#REF!</f>
        <v>#REF!</v>
      </c>
    </row>
    <row r="46" spans="1:12" ht="0" hidden="1" customHeight="1" x14ac:dyDescent="0.25">
      <c r="A46" s="25" t="e">
        <f>#REF!</f>
        <v>#REF!</v>
      </c>
    </row>
    <row r="47" spans="1:12" ht="0" hidden="1" customHeight="1" x14ac:dyDescent="0.25">
      <c r="A47" s="25" t="e">
        <f>#REF!</f>
        <v>#REF!</v>
      </c>
    </row>
  </sheetData>
  <dataValidations count="3">
    <dataValidation allowBlank="1" showInputMessage="1" showErrorMessage="1" promptTitle="Warning!" prompt="The HECVAT is built using a number of complex formulas. Editing this cell can break the functionality of the tool. " sqref="D13:F16 A3:A38 C19:D19 C17:D17 C4:F12 C2:F2 D3:F3 B2:B38 E17:F37" xr:uid="{0F8CA259-A20F-44D0-B056-D4E572BCC26C}"/>
    <dataValidation allowBlank="1" showInputMessage="1" showErrorMessage="1" prompt="This cell should be left blank. Input your answer in column C." sqref="D20:D24" xr:uid="{BB71BC20-D71A-4329-9EB7-BB86EEEA3672}"/>
    <dataValidation allowBlank="1" showInputMessage="1" showErrorMessage="1" prompt="This answer has been populated from the &quot;START HERE&quot; tab and does not need to be re-entered." sqref="C18 C13:C16 C3" xr:uid="{909D3885-6C61-4775-AC6D-531E34A7A2D5}"/>
  </dataValidations>
  <hyperlinks>
    <hyperlink ref="A11" r:id="rId1" display="http://www.educause.edu/HECVAT" xr:uid="{5A6CDD08-3A9C-4C08-90F5-EFD4549B700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139FE42-BF81-465B-92BD-7BBE9E45A1ED}">
          <x14:formula1>
            <xm:f>'Auto Responses'!$J$3:$J$4</xm:f>
          </x14:formula1>
          <xm:sqref>C25:C38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9BCC-22A6-402F-9D9B-7BE4A2C8BA87}">
  <sheetPr>
    <tabColor rgb="FF00636C"/>
  </sheetPr>
  <dimension ref="A1:L94"/>
  <sheetViews>
    <sheetView showGridLines="0" showZeros="0" topLeftCell="A67" zoomScale="80" zoomScaleNormal="80" workbookViewId="0">
      <selection activeCell="A2" sqref="A2"/>
    </sheetView>
  </sheetViews>
  <sheetFormatPr defaultColWidth="0" defaultRowHeight="0" customHeight="1" zeroHeight="1" x14ac:dyDescent="0.25"/>
  <cols>
    <col min="1" max="1" width="8.265625" customWidth="1"/>
    <col min="2" max="2" width="55.06640625" style="1" customWidth="1"/>
    <col min="3" max="3" width="18.86328125" style="14" customWidth="1"/>
    <col min="4" max="4" width="55.6640625" style="15" customWidth="1"/>
    <col min="5" max="5" width="32" style="16" customWidth="1"/>
    <col min="6" max="6" width="32" style="1" customWidth="1"/>
    <col min="7" max="7" width="18.06640625" style="1" customWidth="1"/>
    <col min="8" max="8" width="18.06640625" style="1" hidden="1" customWidth="1"/>
    <col min="9" max="10" width="18.06640625" style="42" hidden="1" customWidth="1"/>
    <col min="11" max="11" width="4.46484375" style="1" hidden="1" customWidth="1"/>
    <col min="12" max="12" width="6.59765625" style="1" hidden="1" customWidth="1"/>
    <col min="13" max="16384" width="6.59765625" hidden="1"/>
  </cols>
  <sheetData>
    <row r="1" spans="1:10" ht="0" hidden="1" customHeight="1" x14ac:dyDescent="0.25">
      <c r="A1" t="s">
        <v>1530</v>
      </c>
    </row>
    <row r="2" spans="1:10" ht="36" customHeight="1" x14ac:dyDescent="0.25">
      <c r="A2" s="175" t="s">
        <v>1456</v>
      </c>
      <c r="B2" s="175"/>
      <c r="C2" s="176"/>
      <c r="D2" s="328"/>
      <c r="E2" s="177"/>
      <c r="F2" s="177" t="str">
        <f>'Auto Responses'!$A$36</f>
        <v>Version 4.1.0</v>
      </c>
      <c r="J2" s="1"/>
    </row>
    <row r="3" spans="1:10" s="1" customFormat="1" ht="29.15" customHeight="1" x14ac:dyDescent="0.25">
      <c r="A3" s="44" t="s">
        <v>996</v>
      </c>
      <c r="B3" s="45"/>
      <c r="C3" s="73">
        <f>'START HERE'!$C$3</f>
        <v>45894</v>
      </c>
      <c r="D3" s="329"/>
      <c r="E3" s="43"/>
      <c r="F3" s="57"/>
      <c r="I3" s="42"/>
    </row>
    <row r="4" spans="1:10" s="1" customFormat="1" ht="36" customHeight="1" x14ac:dyDescent="0.25">
      <c r="A4" s="17" t="s">
        <v>921</v>
      </c>
      <c r="B4" s="18"/>
      <c r="C4" s="19"/>
      <c r="D4" s="20"/>
      <c r="E4" s="21"/>
      <c r="F4" s="21"/>
      <c r="I4" s="42"/>
    </row>
    <row r="5" spans="1:10" s="1" customFormat="1" ht="19.5" customHeight="1" x14ac:dyDescent="0.25">
      <c r="A5" s="49" t="str">
        <f>HLOOKUP($A$4,'Auto Responses'!$D$2:$D$8,2,0)&amp;""</f>
        <v>1. Complete the "Start Here" tab and review the "Required Questions" guidance to find the other sections are required for your product or service.</v>
      </c>
      <c r="B5" s="22"/>
      <c r="C5" s="74"/>
      <c r="D5" s="330"/>
      <c r="E5" s="22"/>
      <c r="F5" s="279"/>
      <c r="I5" s="42"/>
    </row>
    <row r="6" spans="1:10" s="1" customFormat="1" ht="19.5" customHeight="1" x14ac:dyDescent="0.25">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10" s="1" customFormat="1" ht="19.5" customHeight="1" x14ac:dyDescent="0.25">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10" s="1" customFormat="1" ht="19.5" customHeight="1" x14ac:dyDescent="0.25">
      <c r="A8" s="49" t="str">
        <f>HLOOKUP($A$4,'Auto Responses'!$D$2:$D$8,5,0)&amp;""</f>
        <v>4. DO NOT complete any fields in the "Evaluation" sheets or the "Analyst Notes" column.</v>
      </c>
      <c r="B8" s="22"/>
      <c r="C8" s="74"/>
      <c r="D8" s="330"/>
      <c r="E8" s="22"/>
      <c r="F8" s="280"/>
      <c r="I8" s="42"/>
    </row>
    <row r="9" spans="1:10" s="1" customFormat="1" ht="19.5" customHeight="1" x14ac:dyDescent="0.25">
      <c r="A9" s="49" t="str">
        <f>HLOOKUP($A$4,'Auto Responses'!$D$2:$D$8,6,0)&amp;""</f>
        <v>5. Return the completed file to institutions.</v>
      </c>
      <c r="B9" s="22"/>
      <c r="C9" s="74"/>
      <c r="D9" s="330"/>
      <c r="E9" s="22"/>
      <c r="F9" s="280"/>
      <c r="I9" s="42"/>
    </row>
    <row r="10" spans="1:10" s="1" customFormat="1" ht="19.5" customHeight="1" x14ac:dyDescent="0.25">
      <c r="A10" s="265" t="str">
        <f>HLOOKUP($A$4,'Auto Responses'!$D$2:$D$8,7,0)&amp;""</f>
        <v>* Denotes critical questions. Critical questions are those deemed most important to institutions by higher education volunteers.</v>
      </c>
      <c r="B10" s="22"/>
      <c r="C10" s="74"/>
      <c r="D10" s="330"/>
      <c r="E10" s="22"/>
      <c r="F10" s="280"/>
      <c r="I10" s="42"/>
    </row>
    <row r="11" spans="1:10" s="1" customFormat="1" ht="19.5" customHeight="1" x14ac:dyDescent="0.25">
      <c r="A11" s="264" t="str">
        <f>HLOOKUP($A$4,'Auto Responses'!$D$2:$D$9,8,0)&amp;""</f>
        <v>For full instructions, please visit educause.edu/HECVAT</v>
      </c>
      <c r="B11" s="22"/>
      <c r="C11" s="74"/>
      <c r="D11" s="330"/>
      <c r="E11" s="22"/>
      <c r="F11" s="281"/>
      <c r="I11" s="42"/>
    </row>
    <row r="12" spans="1:10" s="1" customFormat="1" ht="36" customHeight="1" x14ac:dyDescent="0.25">
      <c r="A12" s="70" t="str">
        <f>VLOOKUP(LEFT($A13,4),'Auto Responses'!$N$4:$O$38,2,0)&amp;""</f>
        <v xml:space="preserve"> General Information</v>
      </c>
      <c r="B12" s="18"/>
      <c r="C12" s="19" t="s">
        <v>1583</v>
      </c>
      <c r="D12" s="331"/>
      <c r="E12" s="23"/>
      <c r="F12" s="23"/>
      <c r="I12" s="42"/>
      <c r="J12" s="42"/>
    </row>
    <row r="13" spans="1:10" s="1" customFormat="1" ht="22.4" customHeight="1" x14ac:dyDescent="0.25">
      <c r="A13" s="25" t="s">
        <v>21</v>
      </c>
      <c r="B13" s="26" t="str">
        <f>VLOOKUP($A13,Questions!$A$2:$X$333,2,0)&amp;""</f>
        <v>Solution Provider Name</v>
      </c>
      <c r="C13" s="83" t="str">
        <f>VLOOKUP($A13,'START HERE'!$A$13:$C$21,3,0)&amp;""</f>
        <v xml:space="preserve">Cirrus Identity </v>
      </c>
      <c r="D13" s="39"/>
      <c r="E13" s="39"/>
      <c r="F13" s="57"/>
      <c r="I13" s="42"/>
      <c r="J13" s="42"/>
    </row>
    <row r="14" spans="1:10" s="1" customFormat="1" ht="22.4" customHeight="1" x14ac:dyDescent="0.25">
      <c r="A14" s="25" t="s">
        <v>24</v>
      </c>
      <c r="B14" s="26" t="str">
        <f>VLOOKUP($A14,Questions!$A$2:$X$333,2,0)&amp;""</f>
        <v>Solution Name</v>
      </c>
      <c r="C14" s="83" t="str">
        <f>VLOOKUP($A14,'START HERE'!$A$13:$C$21,3,0)&amp;""</f>
        <v>Cirrus Identity Gateway, Cirrus Identity Proxy, Cirrus Identity Bridge, Cirrus Identity Attribute Authority, Cirrus Identity Invitation, Cirrus Identity Account Linking, Cirrus Identity OrgBrandedID, and Cirrus Identity MFA -- Collective referred to as Cirrus Identity Products</v>
      </c>
      <c r="D14" s="39"/>
      <c r="E14" s="39"/>
      <c r="F14" s="57"/>
      <c r="I14" s="42"/>
      <c r="J14" s="42"/>
    </row>
    <row r="15" spans="1:10" s="1" customFormat="1" ht="22.4" customHeight="1" x14ac:dyDescent="0.25">
      <c r="A15" s="25" t="s">
        <v>25</v>
      </c>
      <c r="B15" s="26" t="str">
        <f>VLOOKUP($A15,Questions!$A$2:$X$333,2,0)&amp;""</f>
        <v>Solution Description</v>
      </c>
      <c r="C15" s="83" t="str">
        <f>VLOOKUP($A15,'START HERE'!$A$13:$C$21,3,0)&amp;""</f>
        <v>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v>
      </c>
      <c r="D15" s="39"/>
      <c r="E15" s="39"/>
      <c r="F15" s="57"/>
      <c r="I15" s="42"/>
      <c r="J15" s="42"/>
    </row>
    <row r="16" spans="1:10" s="1" customFormat="1" ht="22.4" customHeight="1" thickBot="1" x14ac:dyDescent="0.3">
      <c r="A16" s="25" t="s">
        <v>30</v>
      </c>
      <c r="B16" s="26" t="str">
        <f>VLOOKUP($A16,Questions!$A$2:$X$333,2,0)&amp;""</f>
        <v>Country of Company Headquarters</v>
      </c>
      <c r="C16" s="83" t="str">
        <f>VLOOKUP($A16,'START HERE'!$A$13:$C$21,3,0)&amp;""</f>
        <v>United States</v>
      </c>
      <c r="D16" s="39"/>
      <c r="E16" s="39"/>
      <c r="F16" s="57"/>
      <c r="I16" s="42"/>
      <c r="J16" s="42"/>
    </row>
    <row r="17" spans="1:10" s="1" customFormat="1" ht="37.4" customHeight="1" thickBot="1" x14ac:dyDescent="0.3">
      <c r="A17" s="70" t="str">
        <f>VLOOKUP(LEFT($A18,4),'Auto Responses'!$N$4:$O$38,2,0)&amp;""</f>
        <v xml:space="preserve"> Required Questions</v>
      </c>
      <c r="B17" s="29"/>
      <c r="C17" s="19" t="s">
        <v>1583</v>
      </c>
      <c r="D17" s="19" t="s">
        <v>72</v>
      </c>
      <c r="E17" s="38" t="s">
        <v>904</v>
      </c>
      <c r="F17" s="194" t="s">
        <v>905</v>
      </c>
      <c r="I17" s="42"/>
      <c r="J17" s="42"/>
    </row>
    <row r="18" spans="1:10" s="1" customFormat="1" ht="38.25" customHeight="1" x14ac:dyDescent="0.25">
      <c r="A18" s="25" t="s">
        <v>54</v>
      </c>
      <c r="B18" s="24" t="str">
        <f>VLOOKUP($A18,Questions!$A$2:$X$333,2,0)</f>
        <v>Are you providing consulting services?</v>
      </c>
      <c r="C18" s="80" t="str">
        <f>VLOOKUP($A18,'START HERE'!$A$23:$F$36,3,0)&amp;""</f>
        <v>No</v>
      </c>
      <c r="D18" s="335" t="str">
        <f>VLOOKUP($A18,'START HERE'!$A$23:$F$36,4,0)&amp;""</f>
        <v>Cirrus Identity provides professional services to support deployment of our hosted services -- Professional services is not a primary function of the company</v>
      </c>
      <c r="E18" s="174" t="str">
        <f>IF($C18="Yes",VLOOKUP($A18,Questions!$A$2:$X$333,17,0)&amp;"",IF($C18="No",VLOOKUP($A18,Questions!$A$2:$X$333,16,0)&amp;"",VLOOKUP($A18,Questions!$A$2:$X$333,15,0)&amp;""))</f>
        <v>DO NOT complete the Consulting section in the Case-Specific worksheet</v>
      </c>
      <c r="F18" s="208" t="str">
        <f>VLOOKUP($A18,'Institution Evaluation'!$A$56:$F$346,6,0)&amp;""</f>
        <v/>
      </c>
      <c r="I18" s="42"/>
      <c r="J18" s="42"/>
    </row>
    <row r="19" spans="1:10" s="1" customFormat="1" ht="51.75" customHeight="1" x14ac:dyDescent="0.25">
      <c r="A19" s="25" t="s">
        <v>61</v>
      </c>
      <c r="B19" s="24" t="str">
        <f>VLOOKUP($A19,Questions!$A$2:$X$333,2,0)</f>
        <v>Does your solution process protected health information (PHI) or any data covered by the Health Insurance Portability and Accountability Act (HIPAA)?</v>
      </c>
      <c r="C19" s="80" t="str">
        <f>VLOOKUP($A19,'START HERE'!$A$23:$F$36,3,0)&amp;""</f>
        <v>No</v>
      </c>
      <c r="D19" s="335" t="str">
        <f>VLOOKUP($A19,'START HERE'!$A$23:$F$36,4,0)&amp;""</f>
        <v>The Cirrus Identity standard subscription does not cover access control for protected health information (PHI).</v>
      </c>
      <c r="E19" s="174" t="str">
        <f>IF($C19="Yes",VLOOKUP($A19,Questions!$A$2:$X$333,17,0)&amp;"",IF($C19="No",VLOOKUP($A19,Questions!$A$2:$X$333,16,0)&amp;"",VLOOKUP($A19,Questions!$A$2:$X$333,15,0)&amp;""))</f>
        <v>DO NOT complete the HIPAA section in the Case-Specific worksheet</v>
      </c>
      <c r="F19" s="208" t="str">
        <f>VLOOKUP($A19,'Institution Evaluation'!$A$56:$F$346,6,0)&amp;""</f>
        <v/>
      </c>
      <c r="I19" s="42"/>
      <c r="J19" s="42"/>
    </row>
    <row r="20" spans="1:10" s="1" customFormat="1" ht="51.75" customHeight="1" x14ac:dyDescent="0.25">
      <c r="A20" s="25" t="s">
        <v>64</v>
      </c>
      <c r="B20" s="24" t="str">
        <f>VLOOKUP($A20,Questions!$A$2:$X$333,2,0)</f>
        <v>Is the solution designed to process, store, or transmit credit card information?</v>
      </c>
      <c r="C20" s="80" t="str">
        <f>VLOOKUP($A20,'START HERE'!$A$23:$F$36,3,0)&amp;""</f>
        <v>No</v>
      </c>
      <c r="D20" s="335" t="str">
        <f>VLOOKUP($A20,'START HERE'!$A$23:$F$36,4,0)&amp;""</f>
        <v>The Cirrus Identity standard subscription does not cover access control for data covered by the PCI-DSS standard.</v>
      </c>
      <c r="E20" s="174" t="str">
        <f>IF($C20="Yes",VLOOKUP($A20,Questions!$A$2:$X$333,17,0)&amp;"",IF($C20="No",VLOOKUP($A20,Questions!$A$2:$X$333,16,0)&amp;"",VLOOKUP($A20,Questions!$A$2:$X$333,15,0)&amp;""))</f>
        <v>DO NOT complete the PCI-DSS section in the Case-Specific worksheet</v>
      </c>
      <c r="F20" s="208" t="str">
        <f>VLOOKUP($A20,'Institution Evaluation'!$A$56:$F$346,6,0)&amp;""</f>
        <v/>
      </c>
      <c r="I20" s="42"/>
      <c r="J20" s="42"/>
    </row>
    <row r="21" spans="1:10" s="1" customFormat="1" ht="69" customHeight="1" thickBot="1" x14ac:dyDescent="0.3">
      <c r="A21" s="25" t="s">
        <v>67</v>
      </c>
      <c r="B21" s="24" t="str">
        <f>VLOOKUP($A21,Questions!$A$2:$X$333,2,0)</f>
        <v>Does operating your solution require the institution to operate a physical or virtual appliance in their own environment or to provide inbound firewall exceptions to allow your employees to remotely administer systems in the institution's environment?</v>
      </c>
      <c r="C21" s="80" t="str">
        <f>VLOOKUP($A21,'START HERE'!$A$23:$F$36,3,0)&amp;""</f>
        <v>No</v>
      </c>
      <c r="D21" s="335" t="str">
        <f>VLOOKUP($A21,'START HERE'!$A$23:$F$36,4,0)&amp;""</f>
        <v/>
      </c>
      <c r="E21" s="174" t="str">
        <f>IF($C21="Yes",VLOOKUP($A21,Questions!$A$2:$X$333,17,0)&amp;"",IF($C21="No",VLOOKUP($A21,Questions!$A$2:$X$333,16,0)&amp;"",VLOOKUP($A21,Questions!$A$2:$X$333,15,0)&amp;""))</f>
        <v>DO NOT complete the On-Prem section in the Case-Specific worksheet</v>
      </c>
      <c r="F21" s="208" t="str">
        <f>VLOOKUP($A21,'Institution Evaluation'!$A$56:$F$346,6,0)&amp;""</f>
        <v/>
      </c>
      <c r="G21" s="255" t="s">
        <v>1531</v>
      </c>
      <c r="I21" s="42"/>
      <c r="J21" s="42"/>
    </row>
    <row r="22" spans="1:10" s="1" customFormat="1" ht="37.4" customHeight="1" thickBot="1" x14ac:dyDescent="0.3">
      <c r="A22" s="70" t="str">
        <f>VLOOKUP(LEFT($A23,4),'Auto Responses'!$N$4:$O$38,2,0)&amp;""</f>
        <v xml:space="preserve"> Consulting Services</v>
      </c>
      <c r="B22" s="29"/>
      <c r="C22" s="19" t="s">
        <v>1583</v>
      </c>
      <c r="D22" s="19" t="s">
        <v>72</v>
      </c>
      <c r="E22" s="38" t="s">
        <v>904</v>
      </c>
      <c r="F22" s="194" t="s">
        <v>905</v>
      </c>
      <c r="I22" s="42"/>
      <c r="J22" s="42"/>
    </row>
    <row r="23" spans="1:10" s="1" customFormat="1" ht="40.5" x14ac:dyDescent="0.25">
      <c r="A23" s="25" t="s">
        <v>146</v>
      </c>
      <c r="B23" s="24" t="str">
        <f>VLOOKUP($A23,Questions!$A$2:$X$333,2,0)</f>
        <v>Will the consultant require access to the institution's network resources?*</v>
      </c>
      <c r="C23" s="27"/>
      <c r="D23" s="346"/>
      <c r="E23" s="174" t="str">
        <f>IF($C$18="No",'Auto Responses'!$A$5,IF($C23="Yes",VLOOKUP($A23,Questions!$A$2:$X$333,17,0)&amp;"",IF($C23="No",VLOOKUP($A23,Questions!$A$2:$X$333,16,0)&amp;"",VLOOKUP($A23,Questions!$A$2:$X$333,15,0)&amp;"")))</f>
        <v>Based on the response to REQU-03 on the "START HERE" tab, this question does not apply to this product or service.</v>
      </c>
      <c r="F23" s="208" t="str">
        <f>VLOOKUP($A23,'Institution Evaluation'!$A$56:$F$346,6,0)&amp;""</f>
        <v/>
      </c>
      <c r="I23" s="42"/>
      <c r="J23" s="42"/>
    </row>
    <row r="24" spans="1:10" s="1" customFormat="1" ht="40.5" x14ac:dyDescent="0.25">
      <c r="A24" s="25" t="s">
        <v>150</v>
      </c>
      <c r="B24" s="24" t="str">
        <f>VLOOKUP($A24,Questions!$A$2:$X$333,2,0)</f>
        <v>Has the consultant received training on (sensitive, HIPAA, PCI, etc.) data handling?*</v>
      </c>
      <c r="C24" s="27"/>
      <c r="D24" s="346"/>
      <c r="E24" s="174" t="str">
        <f>IF($C$18="No",'Auto Responses'!$A$5,IF($C24="Yes",VLOOKUP($A24,Questions!$A$2:$X$333,17,0)&amp;"",IF($C24="No",VLOOKUP($A24,Questions!$A$2:$X$333,16,0)&amp;"",VLOOKUP($A24,Questions!$A$2:$X$333,15,0)&amp;"")))</f>
        <v>Based on the response to REQU-03 on the "START HERE" tab, this question does not apply to this product or service.</v>
      </c>
      <c r="F24" s="208" t="str">
        <f>VLOOKUP($A24,'Institution Evaluation'!$A$56:$F$346,6,0)&amp;""</f>
        <v/>
      </c>
      <c r="I24" s="42"/>
      <c r="J24" s="42"/>
    </row>
    <row r="25" spans="1:10" s="1" customFormat="1" ht="36" customHeight="1" x14ac:dyDescent="0.25">
      <c r="A25" s="25" t="s">
        <v>151</v>
      </c>
      <c r="B25" s="24" t="str">
        <f>VLOOKUP($A25,Questions!$A$2:$X$333,2,0)</f>
        <v>Is the data encrypted (at rest) while in the consultant's possession?*</v>
      </c>
      <c r="C25" s="27"/>
      <c r="D25" s="346"/>
      <c r="E25" s="174" t="str">
        <f>IF($C$18="No",'Auto Responses'!$A$5,IF($C25="Yes",VLOOKUP($A25,Questions!$A$2:$X$333,17,0)&amp;"",IF($C25="No",VLOOKUP($A25,Questions!$A$2:$X$333,16,0)&amp;"",VLOOKUP($A25,Questions!$A$2:$X$333,15,0)&amp;"")))</f>
        <v>Based on the response to REQU-03 on the "START HERE" tab, this question does not apply to this product or service.</v>
      </c>
      <c r="F25" s="208" t="str">
        <f>VLOOKUP($A25,'Institution Evaluation'!$A$56:$F$346,6,0)&amp;""</f>
        <v/>
      </c>
      <c r="H25" s="178"/>
      <c r="I25" s="42"/>
      <c r="J25" s="42"/>
    </row>
    <row r="26" spans="1:10" s="1" customFormat="1" ht="40.5" x14ac:dyDescent="0.25">
      <c r="A26" s="25" t="s">
        <v>153</v>
      </c>
      <c r="B26" s="24" t="str">
        <f>VLOOKUP($A26,Questions!$A$2:$X$333,2,0)</f>
        <v>Can access be restricted based on source IP address?*</v>
      </c>
      <c r="C26" s="27"/>
      <c r="D26" s="346"/>
      <c r="E26" s="174" t="str">
        <f>IF($C$18="No",'Auto Responses'!$A$5,IF($C26="Yes",VLOOKUP($A26,Questions!$A$2:$X$333,17,0)&amp;"",IF($C26="No",VLOOKUP($A26,Questions!$A$2:$X$333,16,0)&amp;"",VLOOKUP($A26,Questions!$A$2:$X$333,15,0)&amp;"")))</f>
        <v>Based on the response to REQU-03 on the "START HERE" tab, this question does not apply to this product or service.</v>
      </c>
      <c r="F26" s="208" t="str">
        <f>VLOOKUP($A26,'Institution Evaluation'!$A$56:$F$346,6,0)&amp;""</f>
        <v/>
      </c>
      <c r="I26" s="42"/>
      <c r="J26" s="42"/>
    </row>
    <row r="27" spans="1:10" s="1" customFormat="1" ht="40.5" x14ac:dyDescent="0.25">
      <c r="A27" s="25" t="s">
        <v>155</v>
      </c>
      <c r="B27" s="24" t="str">
        <f>VLOOKUP($A27,Questions!$A$2:$X$333,2,0)</f>
        <v>Will the consulting take place on-premises?</v>
      </c>
      <c r="C27" s="27"/>
      <c r="D27" s="346"/>
      <c r="E27" s="174" t="str">
        <f>IF($C$18="No",'Auto Responses'!$A$5,IF($C27="Yes",VLOOKUP($A27,Questions!$A$2:$X$333,17,0)&amp;"",IF($C27="No",VLOOKUP($A27,Questions!$A$2:$X$333,16,0)&amp;"",VLOOKUP($A27,Questions!$A$2:$X$333,15,0)&amp;"")))</f>
        <v>Based on the response to REQU-03 on the "START HERE" tab, this question does not apply to this product or service.</v>
      </c>
      <c r="F27" s="208" t="str">
        <f>VLOOKUP($A27,'Institution Evaluation'!$A$56:$F$346,6,0)&amp;""</f>
        <v/>
      </c>
      <c r="I27" s="42"/>
      <c r="J27" s="42"/>
    </row>
    <row r="28" spans="1:10" s="1" customFormat="1" ht="40.5" x14ac:dyDescent="0.25">
      <c r="A28" s="25" t="s">
        <v>156</v>
      </c>
      <c r="B28" s="24" t="str">
        <f>VLOOKUP($A28,Questions!$A$2:$X$333,2,0)</f>
        <v>Will the consultant require access to hardware in the institution's data centers?</v>
      </c>
      <c r="C28" s="27"/>
      <c r="D28" s="346"/>
      <c r="E28" s="174" t="str">
        <f>IF($C$18="No",'Auto Responses'!$A$5,IF($C28="Yes",VLOOKUP($A28,Questions!$A$2:$X$333,17,0)&amp;"",IF($C28="No",VLOOKUP($A28,Questions!$A$2:$X$333,16,0)&amp;"",VLOOKUP($A28,Questions!$A$2:$X$333,15,0)&amp;"")))</f>
        <v>Based on the response to REQU-03 on the "START HERE" tab, this question does not apply to this product or service.</v>
      </c>
      <c r="F28" s="208" t="str">
        <f>VLOOKUP($A28,'Institution Evaluation'!$A$56:$F$346,6,0)&amp;""</f>
        <v/>
      </c>
      <c r="I28" s="42"/>
      <c r="J28" s="42"/>
    </row>
    <row r="29" spans="1:10" s="1" customFormat="1" ht="40.5" x14ac:dyDescent="0.25">
      <c r="A29" s="25" t="s">
        <v>159</v>
      </c>
      <c r="B29" s="24" t="str">
        <f>VLOOKUP($A29,Questions!$A$2:$X$333,2,0)</f>
        <v>Will the consultant require an account within the institution's domain (@*.edu)?</v>
      </c>
      <c r="C29" s="27"/>
      <c r="D29" s="346"/>
      <c r="E29" s="174" t="str">
        <f>IF($C$18="No",'Auto Responses'!$A$5,IF($C29="Yes",VLOOKUP($A29,Questions!$A$2:$X$333,17,0)&amp;"",IF($C29="No",VLOOKUP($A29,Questions!$A$2:$X$333,16,0)&amp;"",VLOOKUP($A29,Questions!$A$2:$X$333,15,0)&amp;"")))</f>
        <v>Based on the response to REQU-03 on the "START HERE" tab, this question does not apply to this product or service.</v>
      </c>
      <c r="F29" s="208" t="str">
        <f>VLOOKUP($A29,'Institution Evaluation'!$A$56:$F$346,6,0)&amp;""</f>
        <v/>
      </c>
      <c r="I29" s="42"/>
      <c r="J29" s="42"/>
    </row>
    <row r="30" spans="1:10" s="1" customFormat="1" ht="40.5" x14ac:dyDescent="0.25">
      <c r="A30" s="25" t="s">
        <v>160</v>
      </c>
      <c r="B30" s="24" t="str">
        <f>VLOOKUP($A30,Questions!$A$2:$X$333,2,0)</f>
        <v>Will any data be transferred to the consultant's possession?</v>
      </c>
      <c r="C30" s="27"/>
      <c r="D30" s="346"/>
      <c r="E30" s="174" t="str">
        <f>IF($C$18="No",'Auto Responses'!$A$5,IF($C30="Yes",VLOOKUP($A30,Questions!$A$2:$X$333,17,0)&amp;"",IF($C30="No",VLOOKUP($A30,Questions!$A$2:$X$333,16,0)&amp;"",VLOOKUP($A30,Questions!$A$2:$X$333,15,0)&amp;"")))</f>
        <v>Based on the response to REQU-03 on the "START HERE" tab, this question does not apply to this product or service.</v>
      </c>
      <c r="F30" s="208" t="str">
        <f>VLOOKUP($A30,'Institution Evaluation'!$A$56:$F$346,6,0)&amp;""</f>
        <v/>
      </c>
      <c r="I30" s="42"/>
      <c r="J30" s="42"/>
    </row>
    <row r="31" spans="1:10" s="1" customFormat="1" ht="41" thickBot="1" x14ac:dyDescent="0.3">
      <c r="A31" s="25" t="s">
        <v>163</v>
      </c>
      <c r="B31" s="24" t="str">
        <f>VLOOKUP($A31,Questions!$A$2:$X$333,2,0)</f>
        <v>Will the consultant need remote access to the institution's network or systems?</v>
      </c>
      <c r="C31" s="27"/>
      <c r="D31" s="346"/>
      <c r="E31" s="174" t="str">
        <f>IF($C$18="No",'Auto Responses'!$A$5,IF($C31="Yes",VLOOKUP($A31,Questions!$A$2:$X$333,17,0)&amp;"",IF($C31="No",VLOOKUP($A31,Questions!$A$2:$X$333,16,0)&amp;"",VLOOKUP($A31,Questions!$A$2:$X$333,15,0)&amp;"")))</f>
        <v>Based on the response to REQU-03 on the "START HERE" tab, this question does not apply to this product or service.</v>
      </c>
      <c r="F31" s="208" t="str">
        <f>VLOOKUP($A31,'Institution Evaluation'!$A$56:$F$346,6,0)&amp;""</f>
        <v/>
      </c>
      <c r="G31" s="255" t="s">
        <v>1531</v>
      </c>
      <c r="I31" s="42"/>
      <c r="J31" s="42"/>
    </row>
    <row r="32" spans="1:10" s="1" customFormat="1" ht="37.4" customHeight="1" thickBot="1" x14ac:dyDescent="0.3">
      <c r="A32" s="70" t="str">
        <f>VLOOKUP(LEFT($A33,4),'Auto Responses'!$N$4:$O$38,2,0)&amp;""</f>
        <v xml:space="preserve">HIPAA Compliance </v>
      </c>
      <c r="B32" s="29"/>
      <c r="C32" s="19" t="s">
        <v>1583</v>
      </c>
      <c r="D32" s="19" t="s">
        <v>72</v>
      </c>
      <c r="E32" s="38" t="s">
        <v>904</v>
      </c>
      <c r="F32" s="194" t="s">
        <v>905</v>
      </c>
      <c r="I32" s="42"/>
      <c r="J32" s="42"/>
    </row>
    <row r="33" spans="1:10" s="1" customFormat="1" ht="49.5" customHeight="1" x14ac:dyDescent="0.25">
      <c r="A33" s="25" t="s">
        <v>607</v>
      </c>
      <c r="B33" s="24" t="str">
        <f>VLOOKUP($A33,Questions!$A$2:$X$333,2,0)</f>
        <v>Do your workforce members receive regular training related to the Health Insurance Portability and Accountability Act (HIPAA) Privacy and Security Rules and the HITECH Act?*</v>
      </c>
      <c r="C33" s="27"/>
      <c r="D33" s="346"/>
      <c r="E33" s="174" t="str">
        <f>IF($C$19="No",'Auto Responses'!$A$7,IF($C33="Yes",VLOOKUP($A33,Questions!$A$2:$X$333,17,0)&amp;"",IF($C33="No",VLOOKUP($A33,Questions!$A$2:$X$333,16,0)&amp;"",VLOOKUP($A33,Questions!$A$2:$X$333,15,0)&amp;"")))</f>
        <v>Based on the response to REQU-05 on the "START HERE" tab, this question does not apply to this product or service.</v>
      </c>
      <c r="F33" s="208" t="str">
        <f>VLOOKUP($A33,'Institution Evaluation'!$A$56:$F$346,6,0)&amp;""</f>
        <v/>
      </c>
      <c r="I33" s="42"/>
      <c r="J33" s="42"/>
    </row>
    <row r="34" spans="1:10" s="1" customFormat="1" ht="49.5" customHeight="1" x14ac:dyDescent="0.25">
      <c r="A34" s="25" t="s">
        <v>612</v>
      </c>
      <c r="B34" s="24" t="str">
        <f>VLOOKUP($A34,Questions!$A$2:$X$333,2,0)</f>
        <v>Have you identified areas of risk?*</v>
      </c>
      <c r="C34" s="27"/>
      <c r="D34" s="346"/>
      <c r="E34" s="174" t="str">
        <f>IF($C$19="No",'Auto Responses'!$A$7,IF($C34="Yes",VLOOKUP($A34,Questions!$A$2:$X$333,17,0)&amp;"",IF($C34="No",VLOOKUP($A34,Questions!$A$2:$X$333,16,0)&amp;"",VLOOKUP($A34,Questions!$A$2:$X$333,15,0)&amp;"")))</f>
        <v>Based on the response to REQU-05 on the "START HERE" tab, this question does not apply to this product or service.</v>
      </c>
      <c r="F34" s="208" t="str">
        <f>VLOOKUP($A34,'Institution Evaluation'!$A$56:$F$346,6,0)&amp;""</f>
        <v/>
      </c>
      <c r="I34" s="42"/>
      <c r="J34" s="42"/>
    </row>
    <row r="35" spans="1:10" s="1" customFormat="1" ht="49.5" customHeight="1" x14ac:dyDescent="0.25">
      <c r="A35" s="25" t="s">
        <v>614</v>
      </c>
      <c r="B35" s="24" t="str">
        <f>VLOOKUP($A35,Questions!$A$2:$X$333,2,0)</f>
        <v>Have the relevant policies/plans been tested?*</v>
      </c>
      <c r="C35" s="27"/>
      <c r="D35" s="346"/>
      <c r="E35" s="174" t="str">
        <f>IF($C$19="No",'Auto Responses'!$A$7,IF($C35="Yes",VLOOKUP($A35,Questions!$A$2:$X$333,17,0)&amp;"",IF($C35="No",VLOOKUP($A35,Questions!$A$2:$X$333,16,0)&amp;"",VLOOKUP($A35,Questions!$A$2:$X$333,15,0)&amp;"")))</f>
        <v>Based on the response to REQU-05 on the "START HERE" tab, this question does not apply to this product or service.</v>
      </c>
      <c r="F35" s="208" t="str">
        <f>VLOOKUP($A35,'Institution Evaluation'!$A$56:$F$346,6,0)&amp;""</f>
        <v/>
      </c>
      <c r="I35" s="42"/>
      <c r="J35" s="42"/>
    </row>
    <row r="36" spans="1:10" s="1" customFormat="1" ht="49.5" customHeight="1" x14ac:dyDescent="0.25">
      <c r="A36" s="25" t="s">
        <v>616</v>
      </c>
      <c r="B36" s="24" t="str">
        <f>VLOOKUP($A36,Questions!$A$2:$X$333,2,0)</f>
        <v>Have you entered into a Business Associate Agreements with all subcontractors who may have access to protected health information (PHI)?*</v>
      </c>
      <c r="C36" s="27"/>
      <c r="D36" s="346"/>
      <c r="E36" s="174" t="str">
        <f>IF($C$19="No",'Auto Responses'!$A$7,IF($C36="Yes",VLOOKUP($A36,Questions!$A$2:$X$333,17,0)&amp;"",IF($C36="No",VLOOKUP($A36,Questions!$A$2:$X$333,16,0)&amp;"",VLOOKUP($A36,Questions!$A$2:$X$333,15,0)&amp;"")))</f>
        <v>Based on the response to REQU-05 on the "START HERE" tab, this question does not apply to this product or service.</v>
      </c>
      <c r="F36" s="208" t="str">
        <f>VLOOKUP($A36,'Institution Evaluation'!$A$56:$F$346,6,0)&amp;""</f>
        <v/>
      </c>
      <c r="I36" s="42"/>
      <c r="J36" s="42"/>
    </row>
    <row r="37" spans="1:10" s="1" customFormat="1" ht="49.5" customHeight="1" x14ac:dyDescent="0.25">
      <c r="A37" s="25" t="s">
        <v>618</v>
      </c>
      <c r="B37" s="24" t="str">
        <f>VLOOKUP($A37,Questions!$A$2:$X$333,2,0)</f>
        <v>Do you monitor or receive information regarding changes in HIPAA regulations?</v>
      </c>
      <c r="C37" s="27"/>
      <c r="D37" s="346"/>
      <c r="E37" s="174" t="str">
        <f>IF($C$19="No",'Auto Responses'!$A$7,IF($C37="Yes",VLOOKUP($A37,Questions!$A$2:$X$333,17,0)&amp;"",IF($C37="No",VLOOKUP($A37,Questions!$A$2:$X$333,16,0)&amp;"",VLOOKUP($A37,Questions!$A$2:$X$333,15,0)&amp;"")))</f>
        <v>Based on the response to REQU-05 on the "START HERE" tab, this question does not apply to this product or service.</v>
      </c>
      <c r="F37" s="208" t="str">
        <f>VLOOKUP($A37,'Institution Evaluation'!$A$56:$F$346,6,0)&amp;""</f>
        <v/>
      </c>
      <c r="I37" s="42"/>
      <c r="J37" s="42"/>
    </row>
    <row r="38" spans="1:10" s="1" customFormat="1" ht="49.5" customHeight="1" x14ac:dyDescent="0.25">
      <c r="A38" s="25" t="s">
        <v>619</v>
      </c>
      <c r="B38" s="24" t="str">
        <f>VLOOKUP($A38,Questions!$A$2:$X$333,2,0)</f>
        <v>Has your organization designated HIPAA Privacy and Security officers as required by the rules?</v>
      </c>
      <c r="C38" s="27"/>
      <c r="D38" s="346"/>
      <c r="E38" s="174" t="str">
        <f>IF($C$19="No",'Auto Responses'!$A$7,IF($C38="Yes",VLOOKUP($A38,Questions!$A$2:$X$333,17,0)&amp;"",IF($C38="No",VLOOKUP($A38,Questions!$A$2:$X$333,16,0)&amp;"",VLOOKUP($A38,Questions!$A$2:$X$333,15,0)&amp;"")))</f>
        <v>Based on the response to REQU-05 on the "START HERE" tab, this question does not apply to this product or service.</v>
      </c>
      <c r="F38" s="208" t="str">
        <f>VLOOKUP($A38,'Institution Evaluation'!$A$56:$F$346,6,0)&amp;""</f>
        <v/>
      </c>
      <c r="I38" s="42"/>
      <c r="J38" s="42"/>
    </row>
    <row r="39" spans="1:10" s="1" customFormat="1" ht="49.5" customHeight="1" x14ac:dyDescent="0.25">
      <c r="A39" s="25" t="s">
        <v>620</v>
      </c>
      <c r="B39" s="24" t="str">
        <f>VLOOKUP($A39,Questions!$A$2:$X$333,2,0)</f>
        <v>Do you comply with the requirements of the Health Information Technology for Economic and Clinical Health Act (HITECH)?</v>
      </c>
      <c r="C39" s="27"/>
      <c r="D39" s="346"/>
      <c r="E39" s="174" t="str">
        <f>IF($C$19="No",'Auto Responses'!$A$7,IF($C39="Yes",VLOOKUP($A39,Questions!$A$2:$X$333,17,0)&amp;"",IF($C39="No",VLOOKUP($A39,Questions!$A$2:$X$333,16,0)&amp;"",VLOOKUP($A39,Questions!$A$2:$X$333,15,0)&amp;"")))</f>
        <v>Based on the response to REQU-05 on the "START HERE" tab, this question does not apply to this product or service.</v>
      </c>
      <c r="F39" s="208" t="str">
        <f>VLOOKUP($A39,'Institution Evaluation'!$A$56:$F$346,6,0)&amp;""</f>
        <v/>
      </c>
      <c r="I39" s="42"/>
      <c r="J39" s="42"/>
    </row>
    <row r="40" spans="1:10" s="1" customFormat="1" ht="49.5" customHeight="1" x14ac:dyDescent="0.25">
      <c r="A40" s="25" t="s">
        <v>622</v>
      </c>
      <c r="B40" s="24" t="str">
        <f>VLOOKUP($A40,Questions!$A$2:$X$333,2,0)</f>
        <v>Have you conducted a risk analysis as required under the HIPAA Security Rule?</v>
      </c>
      <c r="C40" s="27"/>
      <c r="D40" s="346"/>
      <c r="E40" s="174" t="str">
        <f>IF($C$19="No",'Auto Responses'!$A$7,IF($C40="Yes",VLOOKUP($A40,Questions!$A$2:$X$333,17,0)&amp;"",IF($C40="No",VLOOKUP($A40,Questions!$A$2:$X$333,16,0)&amp;"",VLOOKUP($A40,Questions!$A$2:$X$333,15,0)&amp;"")))</f>
        <v>Based on the response to REQU-05 on the "START HERE" tab, this question does not apply to this product or service.</v>
      </c>
      <c r="F40" s="208" t="str">
        <f>VLOOKUP($A40,'Institution Evaluation'!$A$56:$F$346,6,0)&amp;""</f>
        <v/>
      </c>
      <c r="I40" s="42"/>
      <c r="J40" s="42"/>
    </row>
    <row r="41" spans="1:10" s="1" customFormat="1" ht="49.5" customHeight="1" x14ac:dyDescent="0.25">
      <c r="A41" s="25" t="s">
        <v>624</v>
      </c>
      <c r="B41" s="24" t="str">
        <f>VLOOKUP($A41,Questions!$A$2:$X$333,2,0)</f>
        <v>Have you taken actions to mitigate the identified risks?</v>
      </c>
      <c r="C41" s="27"/>
      <c r="D41" s="346"/>
      <c r="E41" s="174" t="str">
        <f>IF($C$19="No",'Auto Responses'!$A$7,IF($C41="Yes",VLOOKUP($A41,Questions!$A$2:$X$333,17,0)&amp;"",IF($C41="No",VLOOKUP($A41,Questions!$A$2:$X$333,16,0)&amp;"",VLOOKUP($A41,Questions!$A$2:$X$333,15,0)&amp;"")))</f>
        <v>Based on the response to REQU-05 on the "START HERE" tab, this question does not apply to this product or service.</v>
      </c>
      <c r="F41" s="208" t="str">
        <f>VLOOKUP($A41,'Institution Evaluation'!$A$56:$F$346,6,0)&amp;""</f>
        <v/>
      </c>
      <c r="I41" s="42"/>
      <c r="J41" s="42"/>
    </row>
    <row r="42" spans="1:10" s="1" customFormat="1" ht="49.5" customHeight="1" x14ac:dyDescent="0.25">
      <c r="A42" s="25" t="s">
        <v>626</v>
      </c>
      <c r="B42" s="24" t="str">
        <f>VLOOKUP($A42,Questions!$A$2:$X$333,2,0)</f>
        <v>Does your application require user and system administrator password changes at a frequency no greater than 90 days?</v>
      </c>
      <c r="C42" s="27"/>
      <c r="D42" s="346"/>
      <c r="E42" s="174" t="str">
        <f>IF($C$19="No",'Auto Responses'!$A$7,IF($C42="Yes",VLOOKUP($A42,Questions!$A$2:$X$333,17,0)&amp;"",IF($C42="No",VLOOKUP($A42,Questions!$A$2:$X$333,16,0)&amp;"",VLOOKUP($A42,Questions!$A$2:$X$333,15,0)&amp;"")))</f>
        <v>Based on the response to REQU-05 on the "START HERE" tab, this question does not apply to this product or service.</v>
      </c>
      <c r="F42" s="208" t="str">
        <f>VLOOKUP($A42,'Institution Evaluation'!$A$56:$F$346,6,0)&amp;""</f>
        <v/>
      </c>
      <c r="I42" s="42"/>
      <c r="J42" s="42"/>
    </row>
    <row r="43" spans="1:10" s="1" customFormat="1" ht="49.5" customHeight="1" x14ac:dyDescent="0.25">
      <c r="A43" s="25" t="s">
        <v>628</v>
      </c>
      <c r="B43" s="24" t="str">
        <f>VLOOKUP($A43,Questions!$A$2:$X$333,2,0)</f>
        <v>Does your application require users to set their own password after an administrator reset or on first use of the account?</v>
      </c>
      <c r="C43" s="27"/>
      <c r="D43" s="340"/>
      <c r="E43" s="174" t="str">
        <f>IF($C$19="No",'Auto Responses'!$A$7,IF($C43="Yes",VLOOKUP($A43,Questions!$A$2:$X$333,17,0)&amp;"",IF($C43="No",VLOOKUP($A43,Questions!$A$2:$X$333,16,0)&amp;"",VLOOKUP($A43,Questions!$A$2:$X$333,15,0)&amp;"")))</f>
        <v>Based on the response to REQU-05 on the "START HERE" tab, this question does not apply to this product or service.</v>
      </c>
      <c r="F43" s="208" t="str">
        <f>VLOOKUP($A43,'Institution Evaluation'!$A$56:$F$346,6,0)&amp;""</f>
        <v/>
      </c>
      <c r="I43" s="42"/>
      <c r="J43" s="42"/>
    </row>
    <row r="44" spans="1:10" s="1" customFormat="1" ht="49.5" customHeight="1" x14ac:dyDescent="0.25">
      <c r="A44" s="25" t="s">
        <v>630</v>
      </c>
      <c r="B44" s="24" t="str">
        <f>VLOOKUP($A44,Questions!$A$2:$X$333,2,0)</f>
        <v>Does your application lock out an account after a number of failed login attempts?</v>
      </c>
      <c r="C44" s="27"/>
      <c r="D44" s="340"/>
      <c r="E44" s="174" t="str">
        <f>IF($C$19="No",'Auto Responses'!$A$7,IF($C44="Yes",VLOOKUP($A44,Questions!$A$2:$X$333,17,0)&amp;"",IF($C44="No",VLOOKUP($A44,Questions!$A$2:$X$333,16,0)&amp;"",VLOOKUP($A44,Questions!$A$2:$X$333,15,0)&amp;"")))</f>
        <v>Based on the response to REQU-05 on the "START HERE" tab, this question does not apply to this product or service.</v>
      </c>
      <c r="F44" s="208" t="str">
        <f>VLOOKUP($A44,'Institution Evaluation'!$A$56:$F$346,6,0)&amp;""</f>
        <v/>
      </c>
      <c r="I44" s="42"/>
      <c r="J44" s="42"/>
    </row>
    <row r="45" spans="1:10" s="1" customFormat="1" ht="49.5" customHeight="1" x14ac:dyDescent="0.25">
      <c r="A45" s="25" t="s">
        <v>632</v>
      </c>
      <c r="B45" s="24" t="str">
        <f>VLOOKUP($A45,Questions!$A$2:$X$333,2,0)</f>
        <v>Does your application automatically lock or log-out an account after a period of inactivity?</v>
      </c>
      <c r="C45" s="27"/>
      <c r="D45" s="340"/>
      <c r="E45" s="174" t="str">
        <f>IF($C$19="No",'Auto Responses'!$A$7,IF($C45="Yes",VLOOKUP($A45,Questions!$A$2:$X$333,17,0)&amp;"",IF($C45="No",VLOOKUP($A45,Questions!$A$2:$X$333,16,0)&amp;"",VLOOKUP($A45,Questions!$A$2:$X$333,15,0)&amp;"")))</f>
        <v>Based on the response to REQU-05 on the "START HERE" tab, this question does not apply to this product or service.</v>
      </c>
      <c r="F45" s="208" t="str">
        <f>VLOOKUP($A45,'Institution Evaluation'!$A$56:$F$346,6,0)&amp;""</f>
        <v/>
      </c>
      <c r="I45" s="42"/>
      <c r="J45" s="42"/>
    </row>
    <row r="46" spans="1:10" s="1" customFormat="1" ht="49.5" customHeight="1" x14ac:dyDescent="0.25">
      <c r="A46" s="25" t="s">
        <v>634</v>
      </c>
      <c r="B46" s="24" t="str">
        <f>VLOOKUP($A46,Questions!$A$2:$X$333,2,0)</f>
        <v>Are passwords visible in plain text, whether when stored or entered, including service level accounts (i.e., database accounts, etc.)?</v>
      </c>
      <c r="C46" s="27"/>
      <c r="D46" s="340"/>
      <c r="E46" s="174" t="str">
        <f>IF($C$19="No",'Auto Responses'!$A$7,IF($C46="Yes",VLOOKUP($A46,Questions!$A$2:$X$333,17,0)&amp;"",IF($C46="No",VLOOKUP($A46,Questions!$A$2:$X$333,16,0)&amp;"",VLOOKUP($A46,Questions!$A$2:$X$333,15,0)&amp;"")))</f>
        <v>Based on the response to REQU-05 on the "START HERE" tab, this question does not apply to this product or service.</v>
      </c>
      <c r="F46" s="208" t="str">
        <f>VLOOKUP($A46,'Institution Evaluation'!$A$56:$F$346,6,0)&amp;""</f>
        <v/>
      </c>
      <c r="I46" s="42"/>
      <c r="J46" s="42"/>
    </row>
    <row r="47" spans="1:10" s="1" customFormat="1" ht="49.5" customHeight="1" x14ac:dyDescent="0.25">
      <c r="A47" s="25" t="s">
        <v>636</v>
      </c>
      <c r="B47" s="24" t="str">
        <f>VLOOKUP($A47,Questions!$A$2:$X$333,2,0)</f>
        <v>If the application is institution-hosted, can all service level and administrative account passwords be changed by the institution?</v>
      </c>
      <c r="C47" s="27"/>
      <c r="D47" s="340"/>
      <c r="E47" s="174" t="str">
        <f>IF($C$19="No",'Auto Responses'!$A$7,IF($C47="Yes",VLOOKUP($A47,Questions!$A$2:$X$333,17,0)&amp;"",IF($C47="No",VLOOKUP($A47,Questions!$A$2:$X$333,16,0)&amp;"",VLOOKUP($A47,Questions!$A$2:$X$333,15,0)&amp;"")))</f>
        <v>Based on the response to REQU-05 on the "START HERE" tab, this question does not apply to this product or service.</v>
      </c>
      <c r="F47" s="208" t="str">
        <f>VLOOKUP($A47,'Institution Evaluation'!$A$56:$F$346,6,0)&amp;""</f>
        <v/>
      </c>
      <c r="I47" s="42"/>
      <c r="J47" s="42"/>
    </row>
    <row r="48" spans="1:10" s="1" customFormat="1" ht="49.5" customHeight="1" x14ac:dyDescent="0.25">
      <c r="A48" s="25" t="s">
        <v>638</v>
      </c>
      <c r="B48" s="24" t="str">
        <f>VLOOKUP($A48,Questions!$A$2:$X$333,2,0)</f>
        <v>Does your application provide the ability to define user access levels?</v>
      </c>
      <c r="C48" s="27"/>
      <c r="D48" s="340"/>
      <c r="E48" s="174" t="str">
        <f>IF($C$19="No",'Auto Responses'!$A$7,IF($C48="Yes",VLOOKUP($A48,Questions!$A$2:$X$333,17,0)&amp;"",IF($C48="No",VLOOKUP($A48,Questions!$A$2:$X$333,16,0)&amp;"",VLOOKUP($A48,Questions!$A$2:$X$333,15,0)&amp;"")))</f>
        <v>Based on the response to REQU-05 on the "START HERE" tab, this question does not apply to this product or service.</v>
      </c>
      <c r="F48" s="208" t="str">
        <f>VLOOKUP($A48,'Institution Evaluation'!$A$56:$F$346,6,0)&amp;""</f>
        <v/>
      </c>
      <c r="I48" s="42"/>
      <c r="J48" s="42"/>
    </row>
    <row r="49" spans="1:10" s="1" customFormat="1" ht="49.5" customHeight="1" x14ac:dyDescent="0.25">
      <c r="A49" s="25" t="s">
        <v>640</v>
      </c>
      <c r="B49" s="24" t="str">
        <f>VLOOKUP($A49,Questions!$A$2:$X$333,2,0)</f>
        <v>Does your application support varying levels of access to administrative tasks defined individually per user?</v>
      </c>
      <c r="C49" s="27"/>
      <c r="D49" s="340"/>
      <c r="E49" s="174" t="str">
        <f>IF($C$19="No",'Auto Responses'!$A$7,IF($C49="Yes",VLOOKUP($A49,Questions!$A$2:$X$333,17,0)&amp;"",IF($C49="No",VLOOKUP($A49,Questions!$A$2:$X$333,16,0)&amp;"",VLOOKUP($A49,Questions!$A$2:$X$333,15,0)&amp;"")))</f>
        <v>Based on the response to REQU-05 on the "START HERE" tab, this question does not apply to this product or service.</v>
      </c>
      <c r="F49" s="208" t="str">
        <f>VLOOKUP($A49,'Institution Evaluation'!$A$56:$F$346,6,0)&amp;""</f>
        <v/>
      </c>
      <c r="I49" s="42"/>
      <c r="J49" s="42"/>
    </row>
    <row r="50" spans="1:10" s="1" customFormat="1" ht="49.5" customHeight="1" x14ac:dyDescent="0.25">
      <c r="A50" s="25" t="s">
        <v>642</v>
      </c>
      <c r="B50" s="24" t="str">
        <f>VLOOKUP($A50,Questions!$A$2:$X$333,2,0)</f>
        <v>Does your application support varying levels of access to records based on user ID?</v>
      </c>
      <c r="C50" s="27"/>
      <c r="D50" s="340"/>
      <c r="E50" s="174" t="str">
        <f>IF($C$19="No",'Auto Responses'!$A$7,IF($C50="Yes",VLOOKUP($A50,Questions!$A$2:$X$333,17,0)&amp;"",IF($C50="No",VLOOKUP($A50,Questions!$A$2:$X$333,16,0)&amp;"",VLOOKUP($A50,Questions!$A$2:$X$333,15,0)&amp;"")))</f>
        <v>Based on the response to REQU-05 on the "START HERE" tab, this question does not apply to this product or service.</v>
      </c>
      <c r="F50" s="208" t="str">
        <f>VLOOKUP($A50,'Institution Evaluation'!$A$56:$F$346,6,0)&amp;""</f>
        <v/>
      </c>
      <c r="I50" s="42"/>
      <c r="J50" s="42"/>
    </row>
    <row r="51" spans="1:10" s="1" customFormat="1" ht="49.5" customHeight="1" x14ac:dyDescent="0.25">
      <c r="A51" s="25" t="s">
        <v>643</v>
      </c>
      <c r="B51" s="24" t="str">
        <f>VLOOKUP($A51,Questions!$A$2:$X$333,2,0)</f>
        <v>Is there a limit to the number of groups to which a user can be assigned?</v>
      </c>
      <c r="C51" s="27"/>
      <c r="D51" s="340"/>
      <c r="E51" s="174" t="str">
        <f>IF($C$19="No",'Auto Responses'!$A$7,IF($C51="Yes",VLOOKUP($A51,Questions!$A$2:$X$333,17,0)&amp;"",IF($C51="No",VLOOKUP($A51,Questions!$A$2:$X$333,16,0)&amp;"",VLOOKUP($A51,Questions!$A$2:$X$333,15,0)&amp;"")))</f>
        <v>Based on the response to REQU-05 on the "START HERE" tab, this question does not apply to this product or service.</v>
      </c>
      <c r="F51" s="208" t="str">
        <f>VLOOKUP($A51,'Institution Evaluation'!$A$56:$F$346,6,0)&amp;""</f>
        <v/>
      </c>
      <c r="I51" s="42"/>
      <c r="J51" s="42"/>
    </row>
    <row r="52" spans="1:10" s="1" customFormat="1" ht="49.5" customHeight="1" x14ac:dyDescent="0.25">
      <c r="A52" s="25" t="s">
        <v>645</v>
      </c>
      <c r="B52" s="24" t="str">
        <f>VLOOKUP($A52,Questions!$A$2:$X$333,2,0)</f>
        <v>Do accounts used for solution provider-supplied remote support abide by the same authentication policies and access logging as the rest of the system?</v>
      </c>
      <c r="C52" s="27"/>
      <c r="D52" s="340"/>
      <c r="E52" s="174" t="str">
        <f>IF($C$19="No",'Auto Responses'!$A$7,IF($C52="Yes",VLOOKUP($A52,Questions!$A$2:$X$333,17,0)&amp;"",IF($C52="No",VLOOKUP($A52,Questions!$A$2:$X$333,16,0)&amp;"",VLOOKUP($A52,Questions!$A$2:$X$333,15,0)&amp;"")))</f>
        <v>Based on the response to REQU-05 on the "START HERE" tab, this question does not apply to this product or service.</v>
      </c>
      <c r="F52" s="208" t="str">
        <f>VLOOKUP($A52,'Institution Evaluation'!$A$56:$F$346,6,0)&amp;""</f>
        <v/>
      </c>
      <c r="I52" s="42"/>
      <c r="J52" s="42"/>
    </row>
    <row r="53" spans="1:10" s="1" customFormat="1" ht="49.5" customHeight="1" x14ac:dyDescent="0.25">
      <c r="A53" s="25" t="s">
        <v>646</v>
      </c>
      <c r="B53" s="24" t="str">
        <f>VLOOKUP($A53,Questions!$A$2:$X$333,2,0)</f>
        <v>Does the application log record access including specific user, date/time of access, and originating IP or device?</v>
      </c>
      <c r="C53" s="27"/>
      <c r="D53" s="340"/>
      <c r="E53" s="174" t="str">
        <f>IF($C$19="No",'Auto Responses'!$A$7,IF($C53="Yes",VLOOKUP($A53,Questions!$A$2:$X$333,17,0)&amp;"",IF($C53="No",VLOOKUP($A53,Questions!$A$2:$X$333,16,0)&amp;"",VLOOKUP($A53,Questions!$A$2:$X$333,15,0)&amp;"")))</f>
        <v>Based on the response to REQU-05 on the "START HERE" tab, this question does not apply to this product or service.</v>
      </c>
      <c r="F53" s="208" t="str">
        <f>VLOOKUP($A53,'Institution Evaluation'!$A$56:$F$346,6,0)&amp;""</f>
        <v/>
      </c>
      <c r="I53" s="42"/>
      <c r="J53" s="42"/>
    </row>
    <row r="54" spans="1:10" s="1" customFormat="1" ht="49.5" customHeight="1" x14ac:dyDescent="0.25">
      <c r="A54" s="25" t="s">
        <v>647</v>
      </c>
      <c r="B54" s="24" t="str">
        <f>VLOOKUP($A54,Questions!$A$2:$X$333,2,0)</f>
        <v>Does the application log administrative activity, such as user account access changes and password changes, including specific user, date/time of changes, and originating IP or device?</v>
      </c>
      <c r="C54" s="27"/>
      <c r="D54" s="340"/>
      <c r="E54" s="174" t="str">
        <f>IF($C$19="No",'Auto Responses'!$A$7,IF($C54="Yes",VLOOKUP($A54,Questions!$A$2:$X$333,17,0)&amp;"",IF($C54="No",VLOOKUP($A54,Questions!$A$2:$X$333,16,0)&amp;"",VLOOKUP($A54,Questions!$A$2:$X$333,15,0)&amp;"")))</f>
        <v>Based on the response to REQU-05 on the "START HERE" tab, this question does not apply to this product or service.</v>
      </c>
      <c r="F54" s="208" t="str">
        <f>VLOOKUP($A54,'Institution Evaluation'!$A$56:$F$346,6,0)&amp;""</f>
        <v/>
      </c>
      <c r="I54" s="42"/>
      <c r="J54" s="42"/>
    </row>
    <row r="55" spans="1:10" s="1" customFormat="1" ht="49.5" customHeight="1" x14ac:dyDescent="0.25">
      <c r="A55" s="25" t="s">
        <v>649</v>
      </c>
      <c r="B55" s="24" t="str">
        <f>VLOOKUP($A55,Questions!$A$2:$X$333,2,0)</f>
        <v>Do you retain logs for at least as long as required by HIPAA regulations?</v>
      </c>
      <c r="C55" s="83"/>
      <c r="D55" s="340"/>
      <c r="E55" s="174" t="str">
        <f>IF($C$19="No",'Auto Responses'!$A$7,IF($C55="Yes",VLOOKUP($A55,Questions!$A$2:$X$333,17,0)&amp;"",IF($C55="No",VLOOKUP($A55,Questions!$A$2:$X$333,16,0)&amp;"",VLOOKUP($A55,Questions!$A$2:$X$333,15,0)&amp;"")))</f>
        <v>Based on the response to REQU-05 on the "START HERE" tab, this question does not apply to this product or service.</v>
      </c>
      <c r="F55" s="208" t="str">
        <f>VLOOKUP($A55,'Institution Evaluation'!$A$56:$F$346,6,0)&amp;""</f>
        <v/>
      </c>
      <c r="I55" s="42"/>
      <c r="J55" s="42"/>
    </row>
    <row r="56" spans="1:10" s="1" customFormat="1" ht="49.5" customHeight="1" x14ac:dyDescent="0.25">
      <c r="A56" s="25" t="s">
        <v>651</v>
      </c>
      <c r="B56" s="24" t="str">
        <f>VLOOKUP($A56,Questions!$A$2:$X$333,2,0)</f>
        <v>Can the application logs be archived?</v>
      </c>
      <c r="C56" s="27"/>
      <c r="D56" s="340"/>
      <c r="E56" s="174" t="str">
        <f>IF($C$19="No",'Auto Responses'!$A$7,IF($C56="Yes",VLOOKUP($A56,Questions!$A$2:$X$333,17,0)&amp;"",IF($C56="No",VLOOKUP($A56,Questions!$A$2:$X$333,16,0)&amp;"",VLOOKUP($A56,Questions!$A$2:$X$333,15,0)&amp;"")))</f>
        <v>Based on the response to REQU-05 on the "START HERE" tab, this question does not apply to this product or service.</v>
      </c>
      <c r="F56" s="208" t="str">
        <f>VLOOKUP($A56,'Institution Evaluation'!$A$56:$F$346,6,0)&amp;""</f>
        <v/>
      </c>
      <c r="I56" s="42"/>
      <c r="J56" s="42"/>
    </row>
    <row r="57" spans="1:10" s="1" customFormat="1" ht="49.5" customHeight="1" x14ac:dyDescent="0.25">
      <c r="A57" s="25" t="s">
        <v>653</v>
      </c>
      <c r="B57" s="24" t="str">
        <f>VLOOKUP($A57,Questions!$A$2:$X$333,2,0)</f>
        <v>Can the application logs be saved externally?</v>
      </c>
      <c r="C57" s="27"/>
      <c r="D57" s="340"/>
      <c r="E57" s="174" t="str">
        <f>IF($C$19="No",'Auto Responses'!$A$7,IF($C57="Yes",VLOOKUP($A57,Questions!$A$2:$X$333,17,0)&amp;"",IF($C57="No",VLOOKUP($A57,Questions!$A$2:$X$333,16,0)&amp;"",VLOOKUP($A57,Questions!$A$2:$X$333,15,0)&amp;"")))</f>
        <v>Based on the response to REQU-05 on the "START HERE" tab, this question does not apply to this product or service.</v>
      </c>
      <c r="F57" s="208" t="str">
        <f>VLOOKUP($A57,'Institution Evaluation'!$A$56:$F$346,6,0)&amp;""</f>
        <v/>
      </c>
      <c r="I57" s="42"/>
      <c r="J57" s="42"/>
    </row>
    <row r="58" spans="1:10" s="1" customFormat="1" ht="49.5" customHeight="1" x14ac:dyDescent="0.25">
      <c r="A58" s="25" t="s">
        <v>655</v>
      </c>
      <c r="B58" s="24" t="str">
        <f>VLOOKUP($A58,Questions!$A$2:$X$333,2,0)</f>
        <v>Do you have a disaster recovery plan and emergency mode operation plan?</v>
      </c>
      <c r="C58" s="27"/>
      <c r="D58" s="340"/>
      <c r="E58" s="174" t="str">
        <f>IF($C$19="No",'Auto Responses'!$A$7,IF($C58="Yes",VLOOKUP($A58,Questions!$A$2:$X$333,17,0)&amp;"",IF($C58="No",VLOOKUP($A58,Questions!$A$2:$X$333,16,0)&amp;"",VLOOKUP($A58,Questions!$A$2:$X$333,15,0)&amp;"")))</f>
        <v>Based on the response to REQU-05 on the "START HERE" tab, this question does not apply to this product or service.</v>
      </c>
      <c r="F58" s="208" t="str">
        <f>VLOOKUP($A58,'Institution Evaluation'!$A$56:$F$346,6,0)&amp;""</f>
        <v/>
      </c>
      <c r="I58" s="42"/>
      <c r="J58" s="42"/>
    </row>
    <row r="59" spans="1:10" s="1" customFormat="1" ht="49.5" customHeight="1" x14ac:dyDescent="0.25">
      <c r="A59" s="25" t="s">
        <v>656</v>
      </c>
      <c r="B59" s="24" t="str">
        <f>VLOOKUP($A59,Questions!$A$2:$X$333,2,0)</f>
        <v>Can you provide a HIPAA compliance attestation document?</v>
      </c>
      <c r="C59" s="27"/>
      <c r="D59" s="340"/>
      <c r="E59" s="174" t="str">
        <f>IF($C$19="No",'Auto Responses'!$A$7,IF($C59="Yes",VLOOKUP($A59,Questions!$A$2:$X$333,17,0)&amp;"",IF($C59="No",VLOOKUP($A59,Questions!$A$2:$X$333,16,0)&amp;"",VLOOKUP($A59,Questions!$A$2:$X$333,15,0)&amp;"")))</f>
        <v>Based on the response to REQU-05 on the "START HERE" tab, this question does not apply to this product or service.</v>
      </c>
      <c r="F59" s="208" t="str">
        <f>VLOOKUP($A59,'Institution Evaluation'!$A$56:$F$346,6,0)&amp;""</f>
        <v/>
      </c>
      <c r="I59" s="42"/>
      <c r="J59" s="42"/>
    </row>
    <row r="60" spans="1:10" s="1" customFormat="1" ht="49.5" customHeight="1" x14ac:dyDescent="0.25">
      <c r="A60" s="25" t="s">
        <v>658</v>
      </c>
      <c r="B60" s="24" t="str">
        <f>VLOOKUP($A60,Questions!$A$2:$X$333,2,0)</f>
        <v>Are you willing to enter into a Business Associate Agreement (BAA)?</v>
      </c>
      <c r="C60" s="27"/>
      <c r="D60" s="340"/>
      <c r="E60" s="174" t="str">
        <f>IF($C$19="No",'Auto Responses'!$A$7,IF($C60="Yes",VLOOKUP($A60,Questions!$A$2:$X$333,17,0)&amp;"",IF($C60="No",VLOOKUP($A60,Questions!$A$2:$X$333,16,0)&amp;"",VLOOKUP($A60,Questions!$A$2:$X$333,15,0)&amp;"")))</f>
        <v>Based on the response to REQU-05 on the "START HERE" tab, this question does not apply to this product or service.</v>
      </c>
      <c r="F60" s="208" t="str">
        <f>VLOOKUP($A60,'Institution Evaluation'!$A$56:$F$346,6,0)&amp;""</f>
        <v/>
      </c>
      <c r="I60" s="42"/>
      <c r="J60" s="42"/>
    </row>
    <row r="61" spans="1:10" s="1" customFormat="1" ht="49.5" customHeight="1" thickBot="1" x14ac:dyDescent="0.3">
      <c r="A61" s="25" t="s">
        <v>660</v>
      </c>
      <c r="B61" s="24" t="str">
        <f>VLOOKUP($A61,Questions!$A$2:$X$333,2,0)</f>
        <v>Do your data backup and retention policies and practices meet HIPAA requirements?</v>
      </c>
      <c r="C61" s="27"/>
      <c r="D61" s="340"/>
      <c r="E61" s="174" t="str">
        <f>IF($C$19="No",'Auto Responses'!$A$7,IF($C61="Yes",VLOOKUP($A61,Questions!$A$2:$X$333,17,0)&amp;"",IF($C61="No",VLOOKUP($A61,Questions!$A$2:$X$333,16,0)&amp;"",VLOOKUP($A61,Questions!$A$2:$X$333,15,0)&amp;"")))</f>
        <v>Based on the response to REQU-05 on the "START HERE" tab, this question does not apply to this product or service.</v>
      </c>
      <c r="F61" s="208" t="str">
        <f>VLOOKUP($A61,'Institution Evaluation'!$A$56:$F$346,6,0)&amp;""</f>
        <v/>
      </c>
      <c r="G61" s="255" t="s">
        <v>1531</v>
      </c>
      <c r="I61" s="42"/>
      <c r="J61" s="42"/>
    </row>
    <row r="62" spans="1:10" s="1" customFormat="1" ht="37.4" customHeight="1" thickBot="1" x14ac:dyDescent="0.3">
      <c r="A62" s="70" t="str">
        <f>VLOOKUP(LEFT($A63,4),'Auto Responses'!$N$4:$O$38,2,0)&amp;""</f>
        <v xml:space="preserve"> Payment Card Industry Data Security Standard (PCI DSS)</v>
      </c>
      <c r="B62" s="29"/>
      <c r="C62" s="19" t="s">
        <v>1583</v>
      </c>
      <c r="D62" s="19" t="s">
        <v>72</v>
      </c>
      <c r="E62" s="38" t="s">
        <v>904</v>
      </c>
      <c r="F62" s="194" t="s">
        <v>905</v>
      </c>
      <c r="I62" s="42"/>
      <c r="J62" s="42"/>
    </row>
    <row r="63" spans="1:10" s="1" customFormat="1" ht="38.25" customHeight="1" x14ac:dyDescent="0.25">
      <c r="A63" s="25" t="s">
        <v>661</v>
      </c>
      <c r="B63" s="24" t="str">
        <f>VLOOKUP($A63,Questions!$A$2:$X$333,2,0)</f>
        <v>Do you have a current, executed within the past year, Attestation of Compliance (AoC) or Report on Compliance (RoC)?*</v>
      </c>
      <c r="C63" s="27"/>
      <c r="D63" s="340"/>
      <c r="E63" s="174" t="str">
        <f>IF($C$20="No",'Auto Responses'!$A$8,IF($C63="Yes",VLOOKUP($A63,Questions!$A$2:$X$333,17,0)&amp;"",IF($C63="No",VLOOKUP($A63,Questions!$A$2:$X$333,16,0)&amp;"",VLOOKUP($A63,Questions!$A$2:$X$333,15,0)&amp;"")))</f>
        <v>Based on the response to REQU-06 on the "START HERE" tab, this question does not apply to this product or service.</v>
      </c>
      <c r="F63" s="208" t="str">
        <f>VLOOKUP($A63,'Institution Evaluation'!$A$56:$F$346,6,0)&amp;""</f>
        <v/>
      </c>
      <c r="I63" s="42"/>
      <c r="J63" s="42"/>
    </row>
    <row r="64" spans="1:10" s="1" customFormat="1" ht="38.25" customHeight="1" x14ac:dyDescent="0.25">
      <c r="A64" s="25" t="s">
        <v>665</v>
      </c>
      <c r="B64" s="24" t="str">
        <f>VLOOKUP($A64,Questions!$A$2:$X$333,2,0)</f>
        <v>Is the application listed as an approved Payment Application Data Security Standard (PA-DSS) application?*</v>
      </c>
      <c r="C64" s="27"/>
      <c r="D64" s="340"/>
      <c r="E64" s="174" t="str">
        <f>IF($C$20="No",'Auto Responses'!$A$8,IF($C64="Yes",VLOOKUP($A64,Questions!$A$2:$X$333,17,0)&amp;"",IF($C64="No",VLOOKUP($A64,Questions!$A$2:$X$333,16,0)&amp;"",VLOOKUP($A64,Questions!$A$2:$X$333,15,0)&amp;"")))</f>
        <v>Based on the response to REQU-06 on the "START HERE" tab, this question does not apply to this product or service.</v>
      </c>
      <c r="F64" s="208" t="str">
        <f>VLOOKUP($A64,'Institution Evaluation'!$A$56:$F$346,6,0)&amp;""</f>
        <v/>
      </c>
      <c r="I64" s="42"/>
      <c r="J64" s="42"/>
    </row>
    <row r="65" spans="1:10" s="1" customFormat="1" ht="38.25" customHeight="1" x14ac:dyDescent="0.25">
      <c r="A65" s="25" t="s">
        <v>667</v>
      </c>
      <c r="B65" s="24" t="str">
        <f>VLOOKUP($A65,Questions!$A$2:$X$333,2,0)</f>
        <v>Does the system or solutions use a third party to collect, store, process, or transmit cardholder (payment/credit/debt card) data?*</v>
      </c>
      <c r="C65" s="27"/>
      <c r="D65" s="340"/>
      <c r="E65" s="174" t="str">
        <f>IF($C$20="No",'Auto Responses'!$A$8,IF($C65="Yes",VLOOKUP($A65,Questions!$A$2:$X$333,17,0)&amp;"",IF($C65="No",VLOOKUP($A65,Questions!$A$2:$X$333,16,0)&amp;"",VLOOKUP($A65,Questions!$A$2:$X$333,15,0)&amp;"")))</f>
        <v>Based on the response to REQU-06 on the "START HERE" tab, this question does not apply to this product or service.</v>
      </c>
      <c r="F65" s="208" t="str">
        <f>VLOOKUP($A65,'Institution Evaluation'!$A$56:$F$346,6,0)&amp;""</f>
        <v/>
      </c>
      <c r="I65" s="42"/>
      <c r="J65" s="42"/>
    </row>
    <row r="66" spans="1:10" s="1" customFormat="1" ht="38.25" customHeight="1" x14ac:dyDescent="0.25">
      <c r="A66" s="25" t="s">
        <v>668</v>
      </c>
      <c r="B66" s="24" t="str">
        <f>VLOOKUP($A66,Questions!$A$2:$X$333,2,0)</f>
        <v>Do your systems or solutions store, process, or transmit cardholder (payment/credit/debt card) data?</v>
      </c>
      <c r="C66" s="27"/>
      <c r="D66" s="340"/>
      <c r="E66" s="174" t="str">
        <f>IF($C$20="No",'Auto Responses'!$A$8,IF($C66="Yes",VLOOKUP($A66,Questions!$A$2:$X$333,17,0)&amp;"",IF($C66="No",VLOOKUP($A66,Questions!$A$2:$X$333,16,0)&amp;"",VLOOKUP($A66,Questions!$A$2:$X$333,15,0)&amp;"")))</f>
        <v>Based on the response to REQU-06 on the "START HERE" tab, this question does not apply to this product or service.</v>
      </c>
      <c r="F66" s="208" t="str">
        <f>VLOOKUP($A66,'Institution Evaluation'!$A$56:$F$346,6,0)&amp;""</f>
        <v/>
      </c>
      <c r="I66" s="42"/>
      <c r="J66" s="42"/>
    </row>
    <row r="67" spans="1:10" s="1" customFormat="1" ht="38.25" customHeight="1" x14ac:dyDescent="0.25">
      <c r="A67" s="25" t="s">
        <v>670</v>
      </c>
      <c r="B67" s="24" t="str">
        <f>VLOOKUP($A67,Questions!$A$2:$X$333,2,0)</f>
        <v>Are you compliant with the Payment Card Industry Data Security Standard (PCI DSS)?</v>
      </c>
      <c r="C67" s="27"/>
      <c r="D67" s="340"/>
      <c r="E67" s="174" t="str">
        <f>IF($C$20="No",'Auto Responses'!$A$8,IF($C67="Yes",VLOOKUP($A67,Questions!$A$2:$X$333,17,0)&amp;"",IF($C67="No",VLOOKUP($A67,Questions!$A$2:$X$333,16,0)&amp;"",VLOOKUP($A67,Questions!$A$2:$X$333,15,0)&amp;"")))</f>
        <v>Based on the response to REQU-06 on the "START HERE" tab, this question does not apply to this product or service.</v>
      </c>
      <c r="F67" s="208" t="str">
        <f>VLOOKUP($A67,'Institution Evaluation'!$A$56:$F$346,6,0)&amp;""</f>
        <v/>
      </c>
      <c r="I67" s="42"/>
      <c r="J67" s="42"/>
    </row>
    <row r="68" spans="1:10" s="1" customFormat="1" ht="38.25" customHeight="1" x14ac:dyDescent="0.25">
      <c r="A68" s="25" t="s">
        <v>671</v>
      </c>
      <c r="B68" s="24" t="str">
        <f>VLOOKUP($A68,Questions!$A$2:$X$333,2,0)</f>
        <v>Are you classified as a service provider?</v>
      </c>
      <c r="C68" s="27"/>
      <c r="D68" s="340"/>
      <c r="E68" s="174" t="str">
        <f>IF($C$20="No",'Auto Responses'!$A$8,IF($C68="Yes",VLOOKUP($A68,Questions!$A$2:$X$333,17,0)&amp;"",IF($C68="No",VLOOKUP($A68,Questions!$A$2:$X$333,16,0)&amp;"",VLOOKUP($A68,Questions!$A$2:$X$333,15,0)&amp;"")))</f>
        <v>Based on the response to REQU-06 on the "START HERE" tab, this question does not apply to this product or service.</v>
      </c>
      <c r="F68" s="208" t="str">
        <f>VLOOKUP($A68,'Institution Evaluation'!$A$56:$F$346,6,0)&amp;""</f>
        <v/>
      </c>
      <c r="I68" s="42"/>
      <c r="J68" s="42"/>
    </row>
    <row r="69" spans="1:10" s="1" customFormat="1" ht="38.25" customHeight="1" x14ac:dyDescent="0.25">
      <c r="A69" s="25" t="s">
        <v>673</v>
      </c>
      <c r="B69" s="24" t="str">
        <f>VLOOKUP($A69,Questions!$A$2:$X$333,2,0)</f>
        <v>Are you on the list of Visa approved service providers?</v>
      </c>
      <c r="C69" s="27"/>
      <c r="D69" s="340"/>
      <c r="E69" s="174" t="str">
        <f>IF($C$20="No",'Auto Responses'!$A$8,IF($C69="Yes",VLOOKUP($A69,Questions!$A$2:$X$333,17,0)&amp;"",IF($C69="No",VLOOKUP($A69,Questions!$A$2:$X$333,16,0)&amp;"",VLOOKUP($A69,Questions!$A$2:$X$333,15,0)&amp;"")))</f>
        <v>Based on the response to REQU-06 on the "START HERE" tab, this question does not apply to this product or service.</v>
      </c>
      <c r="F69" s="208" t="str">
        <f>VLOOKUP($A69,'Institution Evaluation'!$A$56:$F$346,6,0)&amp;""</f>
        <v/>
      </c>
      <c r="I69" s="42"/>
      <c r="J69" s="42"/>
    </row>
    <row r="70" spans="1:10" s="1" customFormat="1" ht="48" customHeight="1" x14ac:dyDescent="0.25">
      <c r="A70" s="25" t="s">
        <v>675</v>
      </c>
      <c r="B70" s="24" t="str">
        <f>VLOOKUP($A70,Questions!$A$2:$X$333,2,0)</f>
        <v>Are you classified as a merchant? If so, what level (1, 2, 3, 4)?</v>
      </c>
      <c r="C70" s="27"/>
      <c r="D70" s="340"/>
      <c r="E70" s="174" t="str">
        <f>IF($C$20="No",'Auto Responses'!$A$8,IF($C70="Yes",VLOOKUP($A70,Questions!$A$2:$X$333,17,0)&amp;"",IF($C70="No",VLOOKUP($A70,Questions!$A$2:$X$333,16,0)&amp;"",VLOOKUP($A70,Questions!$A$2:$X$333,15,0)&amp;"")))</f>
        <v>Based on the response to REQU-06 on the "START HERE" tab, this question does not apply to this product or service.</v>
      </c>
      <c r="F70" s="208" t="str">
        <f>VLOOKUP($A70,'Institution Evaluation'!$A$56:$F$346,6,0)&amp;""</f>
        <v/>
      </c>
      <c r="I70" s="42"/>
      <c r="J70" s="42"/>
    </row>
    <row r="71" spans="1:10" s="1" customFormat="1" ht="38.25" customHeight="1" x14ac:dyDescent="0.25">
      <c r="A71" s="25" t="s">
        <v>677</v>
      </c>
      <c r="B71" s="24" t="str">
        <f>VLOOKUP($A71,Questions!$A$2:$X$333,2,0)</f>
        <v>Describe the architecture employed by the system to verify and authorize credit card transactions.</v>
      </c>
      <c r="C71" s="27"/>
      <c r="D71" s="340"/>
      <c r="E71" s="174" t="str">
        <f>IF($C$20="No",'Auto Responses'!$A$8,IF($C71="Yes",VLOOKUP($A71,Questions!$A$2:$X$333,17,0)&amp;"",IF($C71="No",VLOOKUP($A71,Questions!$A$2:$X$333,16,0)&amp;"",VLOOKUP($A71,Questions!$A$2:$X$333,15,0)&amp;"")))</f>
        <v>Based on the response to REQU-06 on the "START HERE" tab, this question does not apply to this product or service.</v>
      </c>
      <c r="F71" s="208" t="str">
        <f>VLOOKUP($A71,'Institution Evaluation'!$A$56:$F$346,6,0)&amp;""</f>
        <v/>
      </c>
      <c r="I71" s="42"/>
      <c r="J71" s="42"/>
    </row>
    <row r="72" spans="1:10" s="1" customFormat="1" ht="38.25" customHeight="1" x14ac:dyDescent="0.25">
      <c r="A72" s="25" t="s">
        <v>678</v>
      </c>
      <c r="B72" s="24" t="str">
        <f>VLOOKUP($A72,Questions!$A$2:$X$333,2,0)</f>
        <v>What payment processors/gateways does the system support?</v>
      </c>
      <c r="C72" s="27"/>
      <c r="D72" s="340"/>
      <c r="E72" s="174" t="str">
        <f>IF($C$20="No",'Auto Responses'!$A$8,IF($C72="Yes",VLOOKUP($A72,Questions!$A$2:$X$333,17,0)&amp;"",IF($C72="No",VLOOKUP($A72,Questions!$A$2:$X$333,16,0)&amp;"",VLOOKUP($A72,Questions!$A$2:$X$333,15,0)&amp;"")))</f>
        <v>Based on the response to REQU-06 on the "START HERE" tab, this question does not apply to this product or service.</v>
      </c>
      <c r="F72" s="208" t="str">
        <f>VLOOKUP($A72,'Institution Evaluation'!$A$56:$F$346,6,0)&amp;""</f>
        <v/>
      </c>
      <c r="I72" s="42"/>
      <c r="J72" s="42"/>
    </row>
    <row r="73" spans="1:10" s="1" customFormat="1" ht="38.25" customHeight="1" x14ac:dyDescent="0.25">
      <c r="A73" s="25" t="s">
        <v>679</v>
      </c>
      <c r="B73" s="24" t="str">
        <f>VLOOKUP($A73,Questions!$A$2:$X$333,2,0)</f>
        <v>Can the application be installed in a PCI DSS–compliant manner?</v>
      </c>
      <c r="C73" s="27"/>
      <c r="D73" s="340"/>
      <c r="E73" s="174" t="str">
        <f>IF($C$20="No",'Auto Responses'!$A$8,IF($C73="Yes",VLOOKUP($A73,Questions!$A$2:$X$333,17,0)&amp;"",IF($C73="No",VLOOKUP($A73,Questions!$A$2:$X$333,16,0)&amp;"",VLOOKUP($A73,Questions!$A$2:$X$333,15,0)&amp;"")))</f>
        <v>Based on the response to REQU-06 on the "START HERE" tab, this question does not apply to this product or service.</v>
      </c>
      <c r="F73" s="208" t="str">
        <f>VLOOKUP($A73,'Institution Evaluation'!$A$56:$F$346,6,0)&amp;""</f>
        <v/>
      </c>
      <c r="I73" s="42"/>
      <c r="J73" s="42"/>
    </row>
    <row r="74" spans="1:10" s="1" customFormat="1" ht="71.25" customHeight="1" thickBot="1" x14ac:dyDescent="0.3">
      <c r="A74" s="25" t="s">
        <v>680</v>
      </c>
      <c r="B74" s="24" t="str">
        <f>VLOOKUP($A74,Questions!$A$2:$X$333,2,0)</f>
        <v>Include documentation describing the system's abilities to comply with the PCI DSS and any features or capabilities of the system that must be added or changed in order to operate in compliance with the standards.</v>
      </c>
      <c r="C74" s="83"/>
      <c r="D74" s="340"/>
      <c r="E74" s="174" t="str">
        <f>IF($C$20="No",'Auto Responses'!$A$8,IF($C74="Yes",VLOOKUP($A74,Questions!$A$2:$X$333,17,0)&amp;"",IF($C74="No",VLOOKUP($A74,Questions!$A$2:$X$333,16,0)&amp;"",VLOOKUP($A74,Questions!$A$2:$X$333,15,0)&amp;"")))</f>
        <v>Based on the response to REQU-06 on the "START HERE" tab, this question does not apply to this product or service.</v>
      </c>
      <c r="F74" s="208" t="str">
        <f>VLOOKUP($A74,'Institution Evaluation'!$A$56:$F$346,6,0)&amp;""</f>
        <v/>
      </c>
      <c r="G74" s="255" t="s">
        <v>1531</v>
      </c>
      <c r="I74" s="42"/>
      <c r="J74" s="42"/>
    </row>
    <row r="75" spans="1:10" s="1" customFormat="1" ht="37.4" customHeight="1" thickBot="1" x14ac:dyDescent="0.3">
      <c r="A75" s="70" t="str">
        <f>VLOOKUP(LEFT($A76,4),'Auto Responses'!$N$4:$O$38,2,0)&amp;""</f>
        <v xml:space="preserve"> On-Premises Data Solutions</v>
      </c>
      <c r="B75" s="29"/>
      <c r="C75" s="19" t="s">
        <v>1583</v>
      </c>
      <c r="D75" s="19" t="s">
        <v>72</v>
      </c>
      <c r="E75" s="38" t="s">
        <v>904</v>
      </c>
      <c r="F75" s="194" t="s">
        <v>905</v>
      </c>
      <c r="I75" s="42"/>
      <c r="J75" s="42"/>
    </row>
    <row r="76" spans="1:10" s="1" customFormat="1" ht="36" customHeight="1" x14ac:dyDescent="0.25">
      <c r="A76" s="25" t="s">
        <v>681</v>
      </c>
      <c r="B76" s="24" t="str">
        <f>VLOOKUP($A76,Questions!$A$2:$X$333,2,0)</f>
        <v>Do you support role-based access control (RBAC) for system administrators?</v>
      </c>
      <c r="C76" s="27"/>
      <c r="D76" s="340"/>
      <c r="E76" s="174" t="str">
        <f>IF($C$21="No",'Auto Responses'!$A$9,IF($C76="Yes",VLOOKUP($A76,Questions!$A$2:$X$333,17,0)&amp;"",IF($C76="No",VLOOKUP($A76,Questions!$A$2:$X$333,16,0)&amp;"",VLOOKUP($A76,Questions!$A$2:$X$333,15,0)&amp;"")))</f>
        <v>Based on the response to REQU-07 on the "START HERE" tab, this question does not apply to this product or service.</v>
      </c>
      <c r="F76" s="208" t="str">
        <f>VLOOKUP($A76,'Institution Evaluation'!$A$56:$F$346,6,0)&amp;""</f>
        <v/>
      </c>
      <c r="I76" s="42"/>
      <c r="J76" s="42"/>
    </row>
    <row r="77" spans="1:10" s="1" customFormat="1" ht="28.5" customHeight="1" x14ac:dyDescent="0.25">
      <c r="A77" s="25" t="s">
        <v>683</v>
      </c>
      <c r="B77" s="24" t="str">
        <f>VLOOKUP($A77,Questions!$A$2:$X$333,2,0)</f>
        <v>Can your employees access customer systems remotely?</v>
      </c>
      <c r="C77" s="27"/>
      <c r="D77" s="340"/>
      <c r="E77" s="174" t="str">
        <f>IF($C$21="No",'Auto Responses'!$A$9,IF($C77="Yes",VLOOKUP($A77,Questions!$A$2:$X$333,17,0)&amp;"",IF($C77="No",VLOOKUP($A77,Questions!$A$2:$X$333,16,0)&amp;"",VLOOKUP($A77,Questions!$A$2:$X$333,15,0)&amp;"")))</f>
        <v>Based on the response to REQU-07 on the "START HERE" tab, this question does not apply to this product or service.</v>
      </c>
      <c r="F77" s="208" t="str">
        <f>VLOOKUP($A77,'Institution Evaluation'!$A$56:$F$346,6,0)&amp;""</f>
        <v/>
      </c>
      <c r="I77" s="42"/>
      <c r="J77" s="42"/>
    </row>
    <row r="78" spans="1:10" s="1" customFormat="1" ht="68.25" customHeight="1" x14ac:dyDescent="0.25">
      <c r="A78" s="25" t="s">
        <v>687</v>
      </c>
      <c r="B78" s="24" t="str">
        <f>VLOOKUP($A78,Questions!$A$2:$X$333,2,0)</f>
        <v>Can you provide overall system and/or application architecture diagrams including a full description of the data communications architecture for all components of the system?</v>
      </c>
      <c r="C78" s="27"/>
      <c r="D78" s="340"/>
      <c r="E78" s="174" t="str">
        <f>IF($C$21="No",'Auto Responses'!$A$9,IF($C78="Yes",VLOOKUP($A78,Questions!$A$2:$X$333,17,0)&amp;"",IF($C78="No",VLOOKUP($A78,Questions!$A$2:$X$333,16,0)&amp;"",VLOOKUP($A78,Questions!$A$2:$X$333,15,0)&amp;"")))</f>
        <v>Based on the response to REQU-07 on the "START HERE" tab, this question does not apply to this product or service.</v>
      </c>
      <c r="F78" s="208" t="str">
        <f>VLOOKUP($A78,'Institution Evaluation'!$A$56:$F$346,6,0)&amp;""</f>
        <v/>
      </c>
      <c r="I78" s="42"/>
      <c r="J78" s="42"/>
    </row>
    <row r="79" spans="1:10" s="1" customFormat="1" ht="46.5" customHeight="1" x14ac:dyDescent="0.25">
      <c r="A79" s="25" t="s">
        <v>691</v>
      </c>
      <c r="B79" s="24" t="str">
        <f>VLOOKUP($A79,Questions!$A$2:$X$333,2,0)</f>
        <v>Do you require remote management of the system?</v>
      </c>
      <c r="C79" s="27"/>
      <c r="D79" s="340"/>
      <c r="E79" s="174" t="str">
        <f>IF($C$21="No",'Auto Responses'!$A$9,IF($C79="Yes",VLOOKUP($A79,Questions!$A$2:$X$333,17,0)&amp;"",IF($C79="No",VLOOKUP($A79,Questions!$A$2:$X$333,16,0)&amp;"",VLOOKUP($A79,Questions!$A$2:$X$333,15,0)&amp;"")))</f>
        <v>Based on the response to REQU-07 on the "START HERE" tab, this question does not apply to this product or service.</v>
      </c>
      <c r="F79" s="208" t="str">
        <f>VLOOKUP($A79,'Institution Evaluation'!$A$56:$F$346,6,0)&amp;""</f>
        <v/>
      </c>
      <c r="I79" s="42"/>
      <c r="J79" s="42"/>
    </row>
    <row r="80" spans="1:10" s="1" customFormat="1" ht="60" customHeight="1" x14ac:dyDescent="0.25">
      <c r="A80" s="25" t="s">
        <v>694</v>
      </c>
      <c r="B80" s="24" t="str">
        <f>VLOOKUP($A80,Questions!$A$2:$X$333,2,0)</f>
        <v>If you answered "yes" to OPEM-04, are your remote actions and changes logged or otherwise visible to the campus?</v>
      </c>
      <c r="C80" s="27"/>
      <c r="D80" s="340"/>
      <c r="E80" s="174" t="str">
        <f>IF($C$21="No",'Auto Responses'!$A$9,IF($C80="Yes",VLOOKUP($A80,Questions!$A$2:$X$333,17,0)&amp;"",IF($C80="No",VLOOKUP($A80,Questions!$A$2:$X$333,16,0)&amp;"",IF($C80="N/A",VLOOKUP($A80,Questions!$A$2:$X$333,18,0)&amp;"",VLOOKUP($A80,Questions!$A$2:$X$333,15,0)&amp;""))))</f>
        <v>Based on the response to REQU-07 on the "START HERE" tab, this question does not apply to this product or service.</v>
      </c>
      <c r="F80" s="208" t="str">
        <f>VLOOKUP($A80,'Institution Evaluation'!$A$56:$F$346,6,0)&amp;""</f>
        <v/>
      </c>
      <c r="I80" s="42"/>
      <c r="J80" s="42"/>
    </row>
    <row r="81" spans="1:12" s="1" customFormat="1" ht="47.25" customHeight="1" x14ac:dyDescent="0.25">
      <c r="A81" s="25" t="s">
        <v>698</v>
      </c>
      <c r="B81" s="24" t="str">
        <f>VLOOKUP($A81,Questions!$A$2:$X$333,2,0)</f>
        <v>If you maintain remote access to the system, will you handle data in a FERPA-compliant manner?</v>
      </c>
      <c r="C81" s="27"/>
      <c r="D81" s="340"/>
      <c r="E81" s="174" t="str">
        <f>IF($C$21="No",'Auto Responses'!$A$9,IF($C81="Yes",VLOOKUP($A81,Questions!$A$2:$X$333,17,0)&amp;"",IF($C81="No",VLOOKUP($A81,Questions!$A$2:$X$333,16,0)&amp;"",VLOOKUP($A81,Questions!$A$2:$X$333,15,0)&amp;"")))</f>
        <v>Based on the response to REQU-07 on the "START HERE" tab, this question does not apply to this product or service.</v>
      </c>
      <c r="F81" s="208" t="str">
        <f>VLOOKUP($A81,'Institution Evaluation'!$A$56:$F$346,6,0)&amp;""</f>
        <v/>
      </c>
      <c r="I81" s="42"/>
      <c r="J81" s="42"/>
    </row>
    <row r="82" spans="1:12" s="1" customFormat="1" ht="43.5" customHeight="1" x14ac:dyDescent="0.25">
      <c r="A82" s="25" t="s">
        <v>700</v>
      </c>
      <c r="B82" s="24" t="str">
        <f>VLOOKUP($A82,Questions!$A$2:$X$333,2,0)</f>
        <v>Do you support campus status monitoring through SNMPv3 or other means?</v>
      </c>
      <c r="C82" s="27"/>
      <c r="D82" s="340"/>
      <c r="E82" s="174" t="str">
        <f>IF($C$21="No",'Auto Responses'!$A$9,IF($C82="Yes",VLOOKUP($A82,Questions!$A$2:$X$333,17,0)&amp;"",IF($C82="No",VLOOKUP($A82,Questions!$A$2:$X$333,16,0)&amp;"",VLOOKUP($A82,Questions!$A$2:$X$333,15,0)&amp;"")))</f>
        <v>Based on the response to REQU-07 on the "START HERE" tab, this question does not apply to this product or service.</v>
      </c>
      <c r="F82" s="208" t="str">
        <f>VLOOKUP($A82,'Institution Evaluation'!$A$56:$F$346,6,0)&amp;""</f>
        <v/>
      </c>
      <c r="I82" s="42"/>
      <c r="J82" s="42"/>
    </row>
    <row r="83" spans="1:12" s="1" customFormat="1" ht="42" customHeight="1" x14ac:dyDescent="0.25">
      <c r="A83" s="25" t="s">
        <v>703</v>
      </c>
      <c r="B83" s="24" t="str">
        <f>VLOOKUP($A83,Questions!$A$2:$X$333,2,0)</f>
        <v>Describe or provide a reference to any other safeguards used to monitor for malicious activity.</v>
      </c>
      <c r="C83" s="75"/>
      <c r="D83" s="340"/>
      <c r="E83" s="174" t="str">
        <f>IF($C$21="No",'Auto Responses'!$A$9,IF($C83="Yes",VLOOKUP($A83,Questions!$A$2:$X$333,17,0)&amp;"",IF($C83="No",VLOOKUP($A83,Questions!$A$2:$X$333,16,0)&amp;"",VLOOKUP($A83,Questions!$A$2:$X$333,15,0)&amp;"")))</f>
        <v>Based on the response to REQU-07 on the "START HERE" tab, this question does not apply to this product or service.</v>
      </c>
      <c r="F83" s="208" t="str">
        <f>VLOOKUP($A83,'Institution Evaluation'!$A$56:$F$346,6,0)&amp;""</f>
        <v/>
      </c>
      <c r="I83" s="42"/>
      <c r="J83" s="42"/>
    </row>
    <row r="84" spans="1:12" s="1" customFormat="1" ht="54" customHeight="1" x14ac:dyDescent="0.25">
      <c r="A84" s="25" t="s">
        <v>704</v>
      </c>
      <c r="B84" s="24" t="str">
        <f>VLOOKUP($A84,Questions!$A$2:$X$333,2,0)</f>
        <v>Describe how long your organization has conducted business in this area.</v>
      </c>
      <c r="C84" s="75"/>
      <c r="D84" s="340"/>
      <c r="E84" s="174" t="str">
        <f>IF($C$21="No",'Auto Responses'!$A$9,IF($C84="Yes",VLOOKUP($A84,Questions!$A$2:$X$333,17,0)&amp;"",IF($C84="No",VLOOKUP($A84,Questions!$A$2:$X$333,16,0)&amp;"",VLOOKUP($A84,Questions!$A$2:$X$333,15,0)&amp;"")))</f>
        <v>Based on the response to REQU-07 on the "START HERE" tab, this question does not apply to this product or service.</v>
      </c>
      <c r="F84" s="208" t="str">
        <f>VLOOKUP($A84,'Institution Evaluation'!$A$56:$F$346,6,0)&amp;""</f>
        <v/>
      </c>
      <c r="I84" s="42"/>
      <c r="J84" s="42"/>
    </row>
    <row r="85" spans="1:12" s="1" customFormat="1" ht="39.75" customHeight="1" x14ac:dyDescent="0.25">
      <c r="A85" s="25" t="s">
        <v>709</v>
      </c>
      <c r="B85" s="24" t="str">
        <f>VLOOKUP($A85,Questions!$A$2:$X$333,2,0)</f>
        <v>Do you have existing higher education customers?</v>
      </c>
      <c r="C85" s="27"/>
      <c r="D85" s="340"/>
      <c r="E85" s="174" t="str">
        <f>IF($C$21="No",'Auto Responses'!$A$9,IF($C85="Yes",VLOOKUP($A85,Questions!$A$2:$X$333,17,0)&amp;"",IF($C85="No",VLOOKUP($A85,Questions!$A$2:$X$333,16,0)&amp;"",VLOOKUP($A85,Questions!$A$2:$X$333,15,0)&amp;"")))</f>
        <v>Based on the response to REQU-07 on the "START HERE" tab, this question does not apply to this product or service.</v>
      </c>
      <c r="F85" s="208" t="str">
        <f>VLOOKUP($A85,'Institution Evaluation'!$A$56:$F$346,6,0)&amp;""</f>
        <v/>
      </c>
      <c r="G85" s="255" t="s">
        <v>1531</v>
      </c>
      <c r="I85" s="42"/>
      <c r="J85" s="42"/>
    </row>
    <row r="86" spans="1:12" s="1" customFormat="1" ht="36.75" customHeight="1" x14ac:dyDescent="0.25">
      <c r="A86" s="285" t="s">
        <v>1593</v>
      </c>
      <c r="C86" s="14"/>
      <c r="D86" s="15"/>
      <c r="E86" s="16"/>
      <c r="I86" s="42"/>
      <c r="J86" s="42"/>
    </row>
    <row r="87" spans="1:12" ht="15" hidden="1" customHeight="1" x14ac:dyDescent="0.25">
      <c r="A87" s="1"/>
      <c r="B87" s="14"/>
      <c r="C87" s="78"/>
      <c r="D87" s="16"/>
      <c r="E87" s="1"/>
      <c r="H87" s="42"/>
      <c r="I87" s="1"/>
      <c r="J87" s="1"/>
      <c r="L87"/>
    </row>
    <row r="88" spans="1:12" ht="0" hidden="1" customHeight="1" x14ac:dyDescent="0.25">
      <c r="A88" s="25" t="e">
        <f>#REF!</f>
        <v>#REF!</v>
      </c>
    </row>
    <row r="89" spans="1:12" ht="0" hidden="1" customHeight="1" x14ac:dyDescent="0.25">
      <c r="A89" s="25" t="e">
        <f>#REF!</f>
        <v>#REF!</v>
      </c>
    </row>
    <row r="90" spans="1:12" ht="0" hidden="1" customHeight="1" x14ac:dyDescent="0.25">
      <c r="A90" s="25" t="e">
        <f>#REF!</f>
        <v>#REF!</v>
      </c>
    </row>
    <row r="91" spans="1:12" ht="0" hidden="1" customHeight="1" x14ac:dyDescent="0.25">
      <c r="A91" s="25" t="e">
        <f>#REF!</f>
        <v>#REF!</v>
      </c>
    </row>
    <row r="92" spans="1:12" ht="0" hidden="1" customHeight="1" x14ac:dyDescent="0.25">
      <c r="A92" s="25" t="e">
        <f>#REF!</f>
        <v>#REF!</v>
      </c>
    </row>
    <row r="93" spans="1:12" ht="0" hidden="1" customHeight="1" x14ac:dyDescent="0.25">
      <c r="A93" s="25" t="e">
        <f>#REF!</f>
        <v>#REF!</v>
      </c>
    </row>
    <row r="94" spans="1:12" ht="0" hidden="1" customHeight="1" x14ac:dyDescent="0.25">
      <c r="A94" s="25" t="e">
        <f>#REF!</f>
        <v>#REF!</v>
      </c>
    </row>
  </sheetData>
  <dataValidations count="3">
    <dataValidation allowBlank="1" showInputMessage="1" showErrorMessage="1" promptTitle="Warning!" prompt="The HECVAT is built using a number of complex formulas. Editing this cell can break the functionality of the tool. " sqref="A86:B86 A3:A85 C22:D22 C17:D17 C4:F12 C2 D2:F3 C32:D32 C62:D62 C75:D75 B2:B85 E17:F85" xr:uid="{A2581C39-9085-48B1-A01A-98689938B231}"/>
    <dataValidation allowBlank="1" showInputMessage="1" showErrorMessage="1" prompt="This cell should be left blank. Input your answer in column C." sqref="D83:D84 D55 D74" xr:uid="{99745918-BD4C-404F-8EB6-FD6830D1AC83}"/>
    <dataValidation allowBlank="1" showInputMessage="1" showErrorMessage="1" prompt="This answer has been populated from the &quot;START HERE&quot; tab and does not need to be re-entered." sqref="C3 C13:C16 C18:C21" xr:uid="{9EE03F77-63F1-45F4-A6B3-47A7EC079DDB}"/>
  </dataValidations>
  <hyperlinks>
    <hyperlink ref="A11" r:id="rId1" display="http://www.educause.edu/HECVAT" xr:uid="{F36A12FA-6B13-4624-87B5-D2BDA6B134CD}"/>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8E39B49-FDFC-4B06-A569-4463DA1A706A}">
          <x14:formula1>
            <xm:f>'Auto Responses'!$J$3:$J$4</xm:f>
          </x14:formula1>
          <xm:sqref>C23:C31 C85 C63:C73 C33:C54 C56:C61 C76:C79 C81:C82</xm:sqref>
        </x14:dataValidation>
        <x14:dataValidation type="list" allowBlank="1" showInputMessage="1" showErrorMessage="1" xr:uid="{EF1A7EE7-C7A2-403F-A736-199B3CEF11D0}">
          <x14:formula1>
            <xm:f>'Auto Responses'!$J$3:$J$5</xm:f>
          </x14:formula1>
          <xm:sqref>C80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2E64-EA3F-4B77-8C3F-88A9ACA8C66C}">
  <sheetPr>
    <tabColor rgb="FF00636C"/>
  </sheetPr>
  <dimension ref="A1:L1048576"/>
  <sheetViews>
    <sheetView showGridLines="0" showZeros="0" topLeftCell="A4" zoomScale="80" zoomScaleNormal="80" workbookViewId="0">
      <selection activeCell="A2" sqref="A2"/>
    </sheetView>
  </sheetViews>
  <sheetFormatPr defaultColWidth="0" defaultRowHeight="0" customHeight="1" zeroHeight="1" x14ac:dyDescent="0.25"/>
  <cols>
    <col min="1" max="1" width="8.265625" customWidth="1"/>
    <col min="2" max="2" width="55.06640625" style="1" customWidth="1"/>
    <col min="3" max="3" width="18.86328125" style="14" customWidth="1"/>
    <col min="4" max="4" width="55.6640625" style="15" customWidth="1"/>
    <col min="5" max="5" width="32" style="16" customWidth="1"/>
    <col min="6" max="6" width="30.6640625" style="205" customWidth="1"/>
    <col min="7" max="7" width="18.06640625" style="1" customWidth="1"/>
    <col min="8" max="8" width="18.06640625" style="1" hidden="1" customWidth="1"/>
    <col min="9" max="10" width="18.06640625" style="42" hidden="1" customWidth="1"/>
    <col min="11" max="11" width="4.46484375" style="1" hidden="1" customWidth="1"/>
    <col min="12" max="12" width="6.59765625" style="1" hidden="1" customWidth="1"/>
    <col min="13" max="16384" width="6.59765625" hidden="1"/>
  </cols>
  <sheetData>
    <row r="1" spans="1:10" ht="0" hidden="1" customHeight="1" x14ac:dyDescent="0.25">
      <c r="A1" t="s">
        <v>1530</v>
      </c>
    </row>
    <row r="2" spans="1:10" ht="36" customHeight="1" x14ac:dyDescent="0.25">
      <c r="A2" s="175" t="s">
        <v>1457</v>
      </c>
      <c r="B2" s="175"/>
      <c r="C2" s="176"/>
      <c r="D2" s="328"/>
      <c r="E2" s="177"/>
      <c r="F2" s="204" t="str">
        <f>'Auto Responses'!$A$36</f>
        <v>Version 4.1.0</v>
      </c>
      <c r="J2" s="1"/>
    </row>
    <row r="3" spans="1:10" s="1" customFormat="1" ht="29.15" customHeight="1" x14ac:dyDescent="0.25">
      <c r="A3" s="44" t="s">
        <v>996</v>
      </c>
      <c r="B3" s="45"/>
      <c r="C3" s="73">
        <f>'START HERE'!$C$3</f>
        <v>45894</v>
      </c>
      <c r="D3" s="329"/>
      <c r="E3" s="43"/>
      <c r="F3" s="57"/>
      <c r="I3" s="42"/>
    </row>
    <row r="4" spans="1:10" s="1" customFormat="1" ht="36" customHeight="1" x14ac:dyDescent="0.25">
      <c r="A4" s="17" t="s">
        <v>921</v>
      </c>
      <c r="B4" s="18"/>
      <c r="C4" s="19"/>
      <c r="D4" s="20"/>
      <c r="E4" s="21"/>
      <c r="F4" s="21"/>
      <c r="I4" s="42"/>
    </row>
    <row r="5" spans="1:10" s="1" customFormat="1" ht="19.5" customHeight="1" x14ac:dyDescent="0.25">
      <c r="A5" s="49" t="str">
        <f>HLOOKUP($A$4,'Auto Responses'!$D$2:$D$8,2,0)&amp;""</f>
        <v>1. Complete the "Start Here" tab and review the "Required Questions" guidance to find the other sections are required for your product or service.</v>
      </c>
      <c r="B5" s="22"/>
      <c r="C5" s="74"/>
      <c r="D5" s="330"/>
      <c r="E5" s="22"/>
      <c r="F5" s="279"/>
      <c r="I5" s="42"/>
    </row>
    <row r="6" spans="1:10" s="1" customFormat="1" ht="19.5" customHeight="1" x14ac:dyDescent="0.25">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10" s="1" customFormat="1" ht="19.5" customHeight="1" x14ac:dyDescent="0.25">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10" s="1" customFormat="1" ht="19.5" customHeight="1" x14ac:dyDescent="0.25">
      <c r="A8" s="49" t="str">
        <f>HLOOKUP($A$4,'Auto Responses'!$D$2:$D$8,5,0)&amp;""</f>
        <v>4. DO NOT complete any fields in the "Evaluation" sheets or the "Analyst Notes" column.</v>
      </c>
      <c r="B8" s="22"/>
      <c r="C8" s="74"/>
      <c r="D8" s="330"/>
      <c r="E8" s="22"/>
      <c r="F8" s="280"/>
      <c r="I8" s="42"/>
    </row>
    <row r="9" spans="1:10" s="1" customFormat="1" ht="19.5" customHeight="1" x14ac:dyDescent="0.25">
      <c r="A9" s="49" t="str">
        <f>HLOOKUP($A$4,'Auto Responses'!$D$2:$D$8,6,0)&amp;""</f>
        <v>5. Return the completed file to institutions.</v>
      </c>
      <c r="B9" s="22"/>
      <c r="C9" s="74"/>
      <c r="D9" s="330"/>
      <c r="E9" s="22"/>
      <c r="F9" s="280"/>
      <c r="I9" s="42"/>
    </row>
    <row r="10" spans="1:10" s="1" customFormat="1" ht="19.5" customHeight="1" x14ac:dyDescent="0.25">
      <c r="A10" s="265" t="str">
        <f>HLOOKUP($A$4,'Auto Responses'!$D$2:$D$8,7,0)&amp;""</f>
        <v>* Denotes critical questions. Critical questions are those deemed most important to institutions by higher education volunteers.</v>
      </c>
      <c r="B10" s="22"/>
      <c r="C10" s="74"/>
      <c r="D10" s="330"/>
      <c r="E10" s="22"/>
      <c r="F10" s="280"/>
      <c r="I10" s="42"/>
    </row>
    <row r="11" spans="1:10" s="1" customFormat="1" ht="19.5" customHeight="1" x14ac:dyDescent="0.25">
      <c r="A11" s="264" t="str">
        <f>HLOOKUP($A$4,'Auto Responses'!$D$2:$D$9,8,0)&amp;""</f>
        <v>For full instructions, please visit educause.edu/HECVAT</v>
      </c>
      <c r="B11" s="22"/>
      <c r="C11" s="74"/>
      <c r="D11" s="330"/>
      <c r="E11" s="22"/>
      <c r="F11" s="281"/>
      <c r="I11" s="42"/>
    </row>
    <row r="12" spans="1:10" s="1" customFormat="1" ht="36" customHeight="1" x14ac:dyDescent="0.25">
      <c r="A12" s="70" t="str">
        <f>VLOOKUP(LEFT($A13,4),'Auto Responses'!$N$4:$O$38,2,0)&amp;""</f>
        <v xml:space="preserve"> General Information</v>
      </c>
      <c r="B12" s="18"/>
      <c r="C12" s="19" t="s">
        <v>1583</v>
      </c>
      <c r="D12" s="331"/>
      <c r="E12" s="23"/>
      <c r="F12" s="23"/>
      <c r="I12" s="42"/>
      <c r="J12" s="42"/>
    </row>
    <row r="13" spans="1:10" s="1" customFormat="1" ht="22.4" customHeight="1" x14ac:dyDescent="0.25">
      <c r="A13" s="25" t="s">
        <v>21</v>
      </c>
      <c r="B13" s="26" t="str">
        <f>VLOOKUP($A13,Questions!$A$2:$X$333,2,0)&amp;""</f>
        <v>Solution Provider Name</v>
      </c>
      <c r="C13" s="83" t="str">
        <f>VLOOKUP($A13,'START HERE'!$A$13:$C$21,3,0)&amp;""</f>
        <v xml:space="preserve">Cirrus Identity </v>
      </c>
      <c r="D13" s="39"/>
      <c r="E13" s="39"/>
      <c r="F13" s="57"/>
      <c r="I13" s="42"/>
      <c r="J13" s="42"/>
    </row>
    <row r="14" spans="1:10" s="1" customFormat="1" ht="22.4" customHeight="1" x14ac:dyDescent="0.25">
      <c r="A14" s="25" t="s">
        <v>24</v>
      </c>
      <c r="B14" s="26" t="str">
        <f>VLOOKUP($A14,Questions!$A$2:$X$333,2,0)&amp;""</f>
        <v>Solution Name</v>
      </c>
      <c r="C14" s="83" t="str">
        <f>VLOOKUP($A14,'START HERE'!$A$13:$C$21,3,0)&amp;""</f>
        <v>Cirrus Identity Gateway, Cirrus Identity Proxy, Cirrus Identity Bridge, Cirrus Identity Attribute Authority, Cirrus Identity Invitation, Cirrus Identity Account Linking, Cirrus Identity OrgBrandedID, and Cirrus Identity MFA -- Collective referred to as Cirrus Identity Products</v>
      </c>
      <c r="D14" s="39"/>
      <c r="E14" s="39"/>
      <c r="F14" s="57"/>
      <c r="I14" s="42"/>
      <c r="J14" s="42"/>
    </row>
    <row r="15" spans="1:10" s="1" customFormat="1" ht="22.4" customHeight="1" x14ac:dyDescent="0.25">
      <c r="A15" s="25" t="s">
        <v>25</v>
      </c>
      <c r="B15" s="26" t="str">
        <f>VLOOKUP($A15,Questions!$A$2:$X$333,2,0)&amp;""</f>
        <v>Solution Description</v>
      </c>
      <c r="C15" s="83" t="str">
        <f>VLOOKUP($A15,'START HERE'!$A$13:$C$21,3,0)&amp;""</f>
        <v>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v>
      </c>
      <c r="D15" s="39"/>
      <c r="E15" s="39"/>
      <c r="F15" s="57"/>
      <c r="I15" s="42"/>
      <c r="J15" s="42"/>
    </row>
    <row r="16" spans="1:10" s="1" customFormat="1" ht="22.4" customHeight="1" thickBot="1" x14ac:dyDescent="0.3">
      <c r="A16" s="25" t="s">
        <v>30</v>
      </c>
      <c r="B16" s="26" t="str">
        <f>VLOOKUP($A16,Questions!$A$2:$X$333,2,0)&amp;""</f>
        <v>Country of Company Headquarters</v>
      </c>
      <c r="C16" s="83" t="str">
        <f>VLOOKUP($A16,'START HERE'!$A$13:$C$21,3,0)&amp;""</f>
        <v>United States</v>
      </c>
      <c r="D16" s="39"/>
      <c r="E16" s="39"/>
      <c r="F16" s="57"/>
      <c r="I16" s="42"/>
      <c r="J16" s="42"/>
    </row>
    <row r="17" spans="1:10" s="1" customFormat="1" ht="37.4" customHeight="1" thickBot="1" x14ac:dyDescent="0.3">
      <c r="A17" s="70" t="str">
        <f>VLOOKUP(LEFT($A18,4),'Auto Responses'!$N$4:$O$38,2,0)&amp;""</f>
        <v xml:space="preserve"> Required Questions</v>
      </c>
      <c r="B17" s="29"/>
      <c r="C17" s="19" t="s">
        <v>1583</v>
      </c>
      <c r="D17" s="19" t="s">
        <v>72</v>
      </c>
      <c r="E17" s="38" t="s">
        <v>904</v>
      </c>
      <c r="F17" s="209" t="s">
        <v>905</v>
      </c>
      <c r="I17" s="42"/>
      <c r="J17" s="42"/>
    </row>
    <row r="18" spans="1:10" s="1" customFormat="1" ht="38.25" customHeight="1" thickBot="1" x14ac:dyDescent="0.3">
      <c r="A18" s="25" t="s">
        <v>58</v>
      </c>
      <c r="B18" s="24" t="str">
        <f>VLOOKUP($A18,Questions!$A$2:$X$333,2,0)</f>
        <v>Does your solution have AI features, or are there plans to implement AI features in the next 12 months?</v>
      </c>
      <c r="C18" s="79" t="str">
        <f>VLOOKUP($A18,'START HERE'!$A$23:$F$36,3,0)&amp;""</f>
        <v>No</v>
      </c>
      <c r="D18" s="332" t="str">
        <f>VLOOKUP($A18,'START HERE'!$A$23:$F$36,4,0)&amp;""</f>
        <v/>
      </c>
      <c r="E18" s="174" t="str">
        <f>IF($C18="Yes",VLOOKUP($A18,Questions!$A$2:$X$333,17,0)&amp;"",IF($C18="No",VLOOKUP($A18,Questions!$A$2:$X$333,16,0)&amp;"",VLOOKUP($A18,Questions!$A$2:$X$333,15,0)&amp;""))</f>
        <v>DO NOT complete the Artificial Intelligence (AI) worksheet</v>
      </c>
      <c r="F18" s="208" t="str">
        <f>VLOOKUP($A18,'Institution Evaluation'!$A$56:$F$346,6,0)&amp;""</f>
        <v/>
      </c>
      <c r="G18" s="255" t="s">
        <v>1531</v>
      </c>
      <c r="I18" s="42"/>
      <c r="J18" s="42"/>
    </row>
    <row r="19" spans="1:10" s="1" customFormat="1" ht="37.4" customHeight="1" thickBot="1" x14ac:dyDescent="0.3">
      <c r="A19" s="70" t="str">
        <f>VLOOKUP(LEFT($A20,4),'Auto Responses'!$N$4:$O$38,2,0)&amp;""</f>
        <v xml:space="preserve"> AI Qualifying Questions</v>
      </c>
      <c r="B19" s="29"/>
      <c r="C19" s="19" t="s">
        <v>1583</v>
      </c>
      <c r="D19" s="19" t="s">
        <v>72</v>
      </c>
      <c r="E19" s="38" t="s">
        <v>904</v>
      </c>
      <c r="F19" s="209" t="s">
        <v>905</v>
      </c>
      <c r="I19" s="42"/>
      <c r="J19" s="42"/>
    </row>
    <row r="20" spans="1:10" s="1" customFormat="1" ht="38.25" customHeight="1" x14ac:dyDescent="0.25">
      <c r="A20" s="25" t="s">
        <v>817</v>
      </c>
      <c r="B20" s="24" t="str">
        <f>VLOOKUP($A20,Questions!$A$2:$X$333,2,0)</f>
        <v>Does your solution leverage machine learning (ML) or do you plan to do so in the next 12 months?</v>
      </c>
      <c r="C20" s="27"/>
      <c r="D20" s="333"/>
      <c r="E20" s="174" t="str">
        <f>IF($C$18="No",'Auto Responses'!$A$6,IF($C20="Yes",VLOOKUP($A20,Questions!$A$2:$X$333,17,0)&amp;"",IF($C20="No",VLOOKUP($A20,Questions!$A$2:$X$333,16,0)&amp;"",VLOOKUP($A20,Questions!$A$2:$X$333,15,0)&amp;"")))</f>
        <v>Based on the response to REQU-04 on the "START HERE" tab, this question does not apply to this product or service.</v>
      </c>
      <c r="F20" s="208" t="str">
        <f>VLOOKUP($A20,'Institution Evaluation'!$A$56:$F$346,6,0)&amp;""</f>
        <v/>
      </c>
      <c r="I20" s="42"/>
      <c r="J20" s="42"/>
    </row>
    <row r="21" spans="1:10" s="1" customFormat="1" ht="45.75" customHeight="1" thickBot="1" x14ac:dyDescent="0.3">
      <c r="A21" s="25" t="s">
        <v>819</v>
      </c>
      <c r="B21" s="24" t="str">
        <f>VLOOKUP($A21,Questions!$A$2:$X$333,2,0)</f>
        <v>Does your solution leverage a large language model (LLM) or do you plan to do so in the next 12 months?</v>
      </c>
      <c r="C21" s="27"/>
      <c r="D21" s="333"/>
      <c r="E21" s="174" t="str">
        <f>IF($C$18="No",'Auto Responses'!$A$6,IF($C21="Yes",VLOOKUP($A21,Questions!$A$2:$X$333,17,0)&amp;"",IF($C21="No",VLOOKUP($A21,Questions!$A$2:$X$333,16,0)&amp;"",VLOOKUP($A21,Questions!$A$2:$X$333,15,0)&amp;"")))</f>
        <v>Based on the response to REQU-04 on the "START HERE" tab, this question does not apply to this product or service.</v>
      </c>
      <c r="F21" s="208" t="str">
        <f>VLOOKUP($A21,'Institution Evaluation'!$A$56:$F$346,6,0)&amp;""</f>
        <v/>
      </c>
      <c r="G21" s="255" t="s">
        <v>1531</v>
      </c>
      <c r="I21" s="42"/>
      <c r="J21" s="42"/>
    </row>
    <row r="22" spans="1:10" s="1" customFormat="1" ht="37.4" customHeight="1" thickBot="1" x14ac:dyDescent="0.3">
      <c r="A22" s="70" t="str">
        <f>VLOOKUP(LEFT($A23,4),'Auto Responses'!$N$4:$O$38,2,0)&amp;""</f>
        <v xml:space="preserve"> General AI Questions</v>
      </c>
      <c r="B22" s="29"/>
      <c r="C22" s="19" t="s">
        <v>1583</v>
      </c>
      <c r="D22" s="19" t="s">
        <v>72</v>
      </c>
      <c r="E22" s="38" t="s">
        <v>904</v>
      </c>
      <c r="F22" s="209" t="s">
        <v>905</v>
      </c>
      <c r="I22" s="42"/>
      <c r="J22" s="42"/>
    </row>
    <row r="23" spans="1:10" s="1" customFormat="1" ht="48" customHeight="1" x14ac:dyDescent="0.25">
      <c r="A23" s="25" t="s">
        <v>821</v>
      </c>
      <c r="B23" s="24" t="str">
        <f>VLOOKUP($A23,Questions!$A$2:$X$333,2,0)</f>
        <v>Does your solution have an AI risk model when developing or implementing your solution's AI model?*</v>
      </c>
      <c r="C23" s="27"/>
      <c r="D23" s="333"/>
      <c r="E23" s="174" t="str">
        <f>IF($C$18="No",'Auto Responses'!$A$6,IF($C23="Yes",VLOOKUP($A23,Questions!$A$2:$X$333,17,0)&amp;"",IF($C23="No",VLOOKUP($A23,Questions!$A$2:$X$333,16,0)&amp;"",VLOOKUP($A23,Questions!$A$2:$X$333,15,0)&amp;"")))</f>
        <v>Based on the response to REQU-04 on the "START HERE" tab, this question does not apply to this product or service.</v>
      </c>
      <c r="F23" s="208" t="str">
        <f>VLOOKUP($A23,'Institution Evaluation'!$A$56:$F$346,6,0)&amp;""</f>
        <v/>
      </c>
      <c r="I23" s="42"/>
      <c r="J23" s="42"/>
    </row>
    <row r="24" spans="1:10" s="1" customFormat="1" ht="38.25" customHeight="1" x14ac:dyDescent="0.25">
      <c r="A24" s="25" t="s">
        <v>823</v>
      </c>
      <c r="B24" s="24" t="str">
        <f>VLOOKUP($A24,Questions!$A$2:$X$333,2,0)</f>
        <v>Can your solution's AI features be disabled by tenant and/or user?*</v>
      </c>
      <c r="C24" s="27"/>
      <c r="D24" s="333"/>
      <c r="E24" s="174" t="str">
        <f>IF($C$18="No",'Auto Responses'!$A$6,IF($C24="Yes",VLOOKUP($A24,Questions!$A$2:$X$333,17,0)&amp;"",IF($C24="No",VLOOKUP($A24,Questions!$A$2:$X$333,16,0)&amp;"",VLOOKUP($A24,Questions!$A$2:$X$333,15,0)&amp;"")))</f>
        <v>Based on the response to REQU-04 on the "START HERE" tab, this question does not apply to this product or service.</v>
      </c>
      <c r="F24" s="208" t="str">
        <f>VLOOKUP($A24,'Institution Evaluation'!$A$56:$F$346,6,0)&amp;""</f>
        <v/>
      </c>
      <c r="I24" s="42"/>
      <c r="J24" s="42"/>
    </row>
    <row r="25" spans="1:10" s="1" customFormat="1" ht="46.5" customHeight="1" x14ac:dyDescent="0.25">
      <c r="A25" s="25" t="s">
        <v>825</v>
      </c>
      <c r="B25" s="24" t="str">
        <f>VLOOKUP($A25,Questions!$A$2:$X$333,2,0)</f>
        <v>Have your staff completed responsible AI training?*</v>
      </c>
      <c r="C25" s="27"/>
      <c r="D25" s="333"/>
      <c r="E25" s="174" t="str">
        <f>IF($C$18="No",'Auto Responses'!$A$6,IF($C25="Yes",VLOOKUP($A25,Questions!$A$2:$X$333,17,0)&amp;"",IF($C25="No",VLOOKUP($A25,Questions!$A$2:$X$333,16,0)&amp;"",VLOOKUP($A25,Questions!$A$2:$X$333,15,0)&amp;"")))</f>
        <v>Based on the response to REQU-04 on the "START HERE" tab, this question does not apply to this product or service.</v>
      </c>
      <c r="F25" s="208" t="str">
        <f>VLOOKUP($A25,'Institution Evaluation'!$A$56:$F$346,6,0)&amp;""</f>
        <v/>
      </c>
      <c r="I25" s="42"/>
      <c r="J25" s="42"/>
    </row>
    <row r="26" spans="1:10" s="1" customFormat="1" ht="69" customHeight="1" x14ac:dyDescent="0.25">
      <c r="A26" s="25" t="s">
        <v>826</v>
      </c>
      <c r="B26" s="24" t="str">
        <f>VLOOKUP($A26,Questions!$A$2:$X$333,2,0)</f>
        <v>Please describe the capabilities of your solution's AI features.</v>
      </c>
      <c r="C26" s="84"/>
      <c r="D26" s="333"/>
      <c r="E26" s="174" t="str">
        <f>IF($C$18="No",'Auto Responses'!$A$6,IF($C26="Yes",VLOOKUP($A26,Questions!$A$2:$X$333,17,0)&amp;"",IF($C26="No",VLOOKUP($A26,Questions!$A$2:$X$333,16,0)&amp;"",VLOOKUP($A26,Questions!$A$2:$X$333,15,0)&amp;"")))</f>
        <v>Based on the response to REQU-04 on the "START HERE" tab, this question does not apply to this product or service.</v>
      </c>
      <c r="F26" s="208" t="str">
        <f>VLOOKUP($A26,'Institution Evaluation'!$A$56:$F$346,6,0)&amp;""</f>
        <v/>
      </c>
      <c r="I26" s="42"/>
      <c r="J26" s="42"/>
    </row>
    <row r="27" spans="1:10" s="1" customFormat="1" ht="74.25" customHeight="1" thickBot="1" x14ac:dyDescent="0.3">
      <c r="A27" s="25" t="s">
        <v>828</v>
      </c>
      <c r="B27" s="24" t="str">
        <f>VLOOKUP($A27,Questions!$A$2:$X$333,2,0)</f>
        <v>Does your solution support business rules to protect sensitive data from being ingested by the AI model?</v>
      </c>
      <c r="C27" s="27"/>
      <c r="D27" s="333"/>
      <c r="E27" s="174" t="str">
        <f>IF($C$18="No",'Auto Responses'!$A$6,IF($C27="Yes",VLOOKUP($A27,Questions!$A$2:$X$333,17,0)&amp;"",IF($C27="No",VLOOKUP($A27,Questions!$A$2:$X$333,16,0)&amp;"",VLOOKUP($A27,Questions!$A$2:$X$333,15,0)&amp;"")))</f>
        <v>Based on the response to REQU-04 on the "START HERE" tab, this question does not apply to this product or service.</v>
      </c>
      <c r="F27" s="208" t="str">
        <f>VLOOKUP($A27,'Institution Evaluation'!$A$56:$F$346,6,0)&amp;""</f>
        <v/>
      </c>
      <c r="G27" s="255" t="s">
        <v>1531</v>
      </c>
      <c r="I27" s="42"/>
      <c r="J27" s="42"/>
    </row>
    <row r="28" spans="1:10" s="1" customFormat="1" ht="37.4" customHeight="1" thickBot="1" x14ac:dyDescent="0.3">
      <c r="A28" s="70" t="str">
        <f>VLOOKUP(LEFT($A29,4),'Auto Responses'!$N$4:$O$38,2,0)&amp;""</f>
        <v xml:space="preserve"> AI Policy</v>
      </c>
      <c r="B28" s="29"/>
      <c r="C28" s="19" t="s">
        <v>1583</v>
      </c>
      <c r="D28" s="19" t="s">
        <v>72</v>
      </c>
      <c r="E28" s="38" t="s">
        <v>904</v>
      </c>
      <c r="F28" s="209" t="s">
        <v>905</v>
      </c>
      <c r="I28" s="42"/>
      <c r="J28" s="42"/>
    </row>
    <row r="29" spans="1:10" s="1" customFormat="1" ht="69" customHeight="1" x14ac:dyDescent="0.25">
      <c r="A29" s="25" t="s">
        <v>830</v>
      </c>
      <c r="B29" s="24" t="str">
        <f>VLOOKUP($A29,Questions!$A$2:$X$333,2,0)</f>
        <v>Are your AI developer's policies, processes, procedures, and practices across the organization related to the mapping, measuring, and managing of AI risks conspicuously posted, unambiguous, and implemented effectively?*</v>
      </c>
      <c r="C29" s="27"/>
      <c r="D29" s="333"/>
      <c r="E29" s="174" t="str">
        <f>IF($C$18="No",'Auto Responses'!$A$6,IF($C29="Yes",VLOOKUP($A29,Questions!$A$2:$X$333,17,0)&amp;"",IF($C29="No",VLOOKUP($A29,Questions!$A$2:$X$333,16,0)&amp;"",VLOOKUP($A29,Questions!$A$2:$X$333,15,0)&amp;"")))</f>
        <v>Based on the response to REQU-04 on the "START HERE" tab, this question does not apply to this product or service.</v>
      </c>
      <c r="F29" s="208" t="str">
        <f>VLOOKUP($A29,'Institution Evaluation'!$A$56:$F$346,6,0)&amp;""</f>
        <v/>
      </c>
      <c r="I29" s="42"/>
      <c r="J29" s="42"/>
    </row>
    <row r="30" spans="1:10" s="1" customFormat="1" ht="61.5" customHeight="1" x14ac:dyDescent="0.25">
      <c r="A30" s="25" t="s">
        <v>831</v>
      </c>
      <c r="B30" s="24" t="str">
        <f>VLOOKUP($A30,Questions!$A$2:$X$333,2,0)</f>
        <v>Have you identified and measured AI risks?*</v>
      </c>
      <c r="C30" s="27"/>
      <c r="D30" s="333"/>
      <c r="E30" s="174" t="str">
        <f>IF($C$18="No",'Auto Responses'!$A$6,IF($C30="Yes",VLOOKUP($A30,Questions!$A$2:$X$333,17,0)&amp;"",IF($C30="No",VLOOKUP($A30,Questions!$A$2:$X$333,16,0)&amp;"",VLOOKUP($A30,Questions!$A$2:$X$333,15,0)&amp;"")))</f>
        <v>Based on the response to REQU-04 on the "START HERE" tab, this question does not apply to this product or service.</v>
      </c>
      <c r="F30" s="208" t="str">
        <f>VLOOKUP($A30,'Institution Evaluation'!$A$56:$F$346,6,0)&amp;""</f>
        <v/>
      </c>
      <c r="I30" s="42"/>
      <c r="J30" s="42"/>
    </row>
    <row r="31" spans="1:10" s="1" customFormat="1" ht="111" customHeight="1" x14ac:dyDescent="0.25">
      <c r="A31" s="25" t="s">
        <v>832</v>
      </c>
      <c r="B31" s="24" t="str">
        <f>VLOOKUP($A31,Questions!$A$2:$X$333,2,0)</f>
        <v>In the event of an incident, can your solution's AI features be disabled in a timely manner?*</v>
      </c>
      <c r="C31" s="27"/>
      <c r="D31" s="333"/>
      <c r="E31" s="174" t="str">
        <f>IF($C$18="No",'Auto Responses'!$A$6,IF($C31="Yes",VLOOKUP($A31,Questions!$A$2:$X$333,17,0)&amp;"",IF($C31="No",VLOOKUP($A31,Questions!$A$2:$X$333,16,0)&amp;"",VLOOKUP($A31,Questions!$A$2:$X$333,15,0)&amp;"")))</f>
        <v>Based on the response to REQU-04 on the "START HERE" tab, this question does not apply to this product or service.</v>
      </c>
      <c r="F31" s="208" t="str">
        <f>VLOOKUP($A31,'Institution Evaluation'!$A$56:$F$346,6,0)&amp;""</f>
        <v/>
      </c>
      <c r="I31" s="42"/>
      <c r="J31" s="42"/>
    </row>
    <row r="32" spans="1:10" s="1" customFormat="1" ht="99.75" customHeight="1" x14ac:dyDescent="0.25">
      <c r="A32" s="25" t="s">
        <v>833</v>
      </c>
      <c r="B32" s="24" t="str">
        <f>VLOOKUP($A32,Questions!$A$2:$X$333,2,0)</f>
        <v>If disabled because of an incident, can your solution's AI features be re-enabled in a timely manner?*</v>
      </c>
      <c r="C32" s="27"/>
      <c r="D32" s="333"/>
      <c r="E32" s="174" t="str">
        <f>IF($C$18="No",'Auto Responses'!$A$6,IF($C$31="No",'Auto Responses'!$A$27,IF($C32="Yes",VLOOKUP($A32,Questions!$A$2:$X$333,17,0)&amp;"",IF($C32="No",VLOOKUP($A32,Questions!$A$2:$X$333,16,0)&amp;"",IF($C32="N/A",VLOOKUP($A32,Questions!$A$2:$X$333,18,0)&amp;"",VLOOKUP($A32,Questions!$A$2:$X$333,15,0)&amp;"")))))</f>
        <v>Based on the response to REQU-04 on the "START HERE" tab, this question does not apply to this product or service.</v>
      </c>
      <c r="F32" s="208" t="str">
        <f>VLOOKUP($A32,'Institution Evaluation'!$A$56:$F$346,6,0)&amp;""</f>
        <v/>
      </c>
      <c r="I32" s="42"/>
      <c r="J32" s="42"/>
    </row>
    <row r="33" spans="1:10" s="1" customFormat="1" ht="105" customHeight="1" thickBot="1" x14ac:dyDescent="0.3">
      <c r="A33" s="25" t="s">
        <v>834</v>
      </c>
      <c r="B33" s="24" t="str">
        <f>VLOOKUP($A33,Questions!$A$2:$X$333,2,0)</f>
        <v>Do you have documented technical and procedural processes to address potential negative impacts of AI as described by the AI Risk Management Framework (RMF)?</v>
      </c>
      <c r="C33" s="27"/>
      <c r="D33" s="333"/>
      <c r="E33" s="174" t="str">
        <f>IF($C$18="No",'Auto Responses'!$A$6,IF($C33="Yes",VLOOKUP($A33,Questions!$A$2:$X$333,17,0)&amp;"",IF($C33="No",VLOOKUP($A33,Questions!$A$2:$X$333,16,0)&amp;"",VLOOKUP($A33,Questions!$A$2:$X$333,15,0)&amp;"")))</f>
        <v>Based on the response to REQU-04 on the "START HERE" tab, this question does not apply to this product or service.</v>
      </c>
      <c r="F33" s="208" t="str">
        <f>VLOOKUP($A33,'Institution Evaluation'!$A$56:$F$346,6,0)&amp;""</f>
        <v/>
      </c>
      <c r="G33" s="255" t="s">
        <v>1531</v>
      </c>
      <c r="I33" s="42"/>
      <c r="J33" s="42"/>
    </row>
    <row r="34" spans="1:10" s="1" customFormat="1" ht="37.4" customHeight="1" thickBot="1" x14ac:dyDescent="0.3">
      <c r="A34" s="70" t="str">
        <f>VLOOKUP(LEFT($A35,4),'Auto Responses'!$N$4:$O$38,2,0)&amp;""</f>
        <v xml:space="preserve"> AI Data Security</v>
      </c>
      <c r="B34" s="29"/>
      <c r="C34" s="19" t="s">
        <v>1583</v>
      </c>
      <c r="D34" s="19" t="s">
        <v>72</v>
      </c>
      <c r="E34" s="38" t="s">
        <v>904</v>
      </c>
      <c r="F34" s="209" t="s">
        <v>905</v>
      </c>
      <c r="I34" s="42"/>
      <c r="J34" s="42"/>
    </row>
    <row r="35" spans="1:10" s="1" customFormat="1" ht="53.25" customHeight="1" x14ac:dyDescent="0.25">
      <c r="A35" s="25" t="s">
        <v>835</v>
      </c>
      <c r="B35" s="24" t="str">
        <f>VLOOKUP($A35,Questions!$A$2:$X$333,2,0)</f>
        <v>If sensitive data is introduced to your solution's AI model, can the data be removed from the AI model by request?*</v>
      </c>
      <c r="C35" s="27"/>
      <c r="D35" s="333"/>
      <c r="E35" s="174" t="str">
        <f>IF($C$18="No",'Auto Responses'!$A$6,IF($C35="Yes",VLOOKUP($A35,Questions!$A$2:$X$333,17,0)&amp;"",IF($C35="No",VLOOKUP($A35,Questions!$A$2:$X$333,16,0)&amp;"",VLOOKUP($A35,Questions!$A$2:$X$333,15,0)&amp;"")))</f>
        <v>Based on the response to REQU-04 on the "START HERE" tab, this question does not apply to this product or service.</v>
      </c>
      <c r="F35" s="208" t="str">
        <f>VLOOKUP($A35,'Institution Evaluation'!$A$56:$F$346,6,0)&amp;""</f>
        <v/>
      </c>
      <c r="I35" s="42"/>
      <c r="J35" s="42"/>
    </row>
    <row r="36" spans="1:10" s="1" customFormat="1" ht="54" customHeight="1" x14ac:dyDescent="0.25">
      <c r="A36" s="25" t="s">
        <v>836</v>
      </c>
      <c r="B36" s="24" t="str">
        <f>VLOOKUP($A36,Questions!$A$2:$X$333,2,0)</f>
        <v>Is user input data used to influence your solution's AI model?*</v>
      </c>
      <c r="C36" s="27"/>
      <c r="D36" s="333"/>
      <c r="E36" s="174" t="str">
        <f>IF($C$18="No",'Auto Responses'!$A$6,IF($C36="Yes",VLOOKUP($A36,Questions!$A$2:$X$333,17,0)&amp;"",IF($C36="No",VLOOKUP($A36,Questions!$A$2:$X$333,16,0)&amp;"",VLOOKUP($A36,Questions!$A$2:$X$333,15,0)&amp;"")))</f>
        <v>Based on the response to REQU-04 on the "START HERE" tab, this question does not apply to this product or service.</v>
      </c>
      <c r="F36" s="208" t="str">
        <f>VLOOKUP($A36,'Institution Evaluation'!$A$56:$F$346,6,0)&amp;""</f>
        <v/>
      </c>
      <c r="I36" s="42"/>
      <c r="J36" s="42"/>
    </row>
    <row r="37" spans="1:10" s="1" customFormat="1" ht="60" customHeight="1" x14ac:dyDescent="0.25">
      <c r="A37" s="25" t="s">
        <v>837</v>
      </c>
      <c r="B37" s="24" t="str">
        <f>VLOOKUP($A37,Questions!$A$2:$X$333,2,0)</f>
        <v>Do you provide logging for your solution's AI feature(s) that includes user, date, and action taken?*</v>
      </c>
      <c r="C37" s="27"/>
      <c r="D37" s="333"/>
      <c r="E37" s="174" t="str">
        <f>IF($C$18="No",'Auto Responses'!$A$6,IF($C37="Yes",VLOOKUP($A37,Questions!$A$2:$X$333,17,0)&amp;"",IF($C37="No",VLOOKUP($A37,Questions!$A$2:$X$333,16,0)&amp;"",VLOOKUP($A37,Questions!$A$2:$X$333,15,0)&amp;"")))</f>
        <v>Based on the response to REQU-04 on the "START HERE" tab, this question does not apply to this product or service.</v>
      </c>
      <c r="F37" s="208" t="str">
        <f>VLOOKUP($A37,'Institution Evaluation'!$A$56:$F$346,6,0)&amp;""</f>
        <v/>
      </c>
      <c r="I37" s="42"/>
      <c r="J37" s="42"/>
    </row>
    <row r="38" spans="1:10" s="1" customFormat="1" ht="60" customHeight="1" x14ac:dyDescent="0.25">
      <c r="A38" s="25" t="s">
        <v>839</v>
      </c>
      <c r="B38" s="24" t="str">
        <f>VLOOKUP($A38,Questions!$A$2:$X$333,2,0)</f>
        <v>Please describe how you validate user inputs.</v>
      </c>
      <c r="C38" s="84"/>
      <c r="D38" s="333"/>
      <c r="E38" s="174" t="str">
        <f>IF($C$18="No",'Auto Responses'!$A$6,IF($C38="Yes",VLOOKUP($A38,Questions!$A$2:$X$333,17,0)&amp;"",IF($C38="No",VLOOKUP($A38,Questions!$A$2:$X$333,16,0)&amp;"",VLOOKUP($A38,Questions!$A$2:$X$333,15,0)&amp;"")))</f>
        <v>Based on the response to REQU-04 on the "START HERE" tab, this question does not apply to this product or service.</v>
      </c>
      <c r="F38" s="208" t="str">
        <f>VLOOKUP($A38,'Institution Evaluation'!$A$56:$F$346,6,0)&amp;""</f>
        <v/>
      </c>
      <c r="I38" s="42"/>
      <c r="J38" s="42"/>
    </row>
    <row r="39" spans="1:10" s="1" customFormat="1" ht="49.5" customHeight="1" thickBot="1" x14ac:dyDescent="0.3">
      <c r="A39" s="25" t="s">
        <v>840</v>
      </c>
      <c r="B39" s="24" t="str">
        <f>VLOOKUP($A39,Questions!$A$2:$X$333,2,0)</f>
        <v>Do you plan for and mitigate supply-chain risk related to your AI features?</v>
      </c>
      <c r="C39" s="27"/>
      <c r="D39" s="333"/>
      <c r="E39" s="174" t="str">
        <f>IF($C$18="No",'Auto Responses'!$A$6,IF($C39="Yes",VLOOKUP($A39,Questions!$A$2:$X$333,17,0)&amp;"",IF($C39="No",VLOOKUP($A39,Questions!$A$2:$X$333,16,0)&amp;"",VLOOKUP($A39,Questions!$A$2:$X$333,15,0)&amp;"")))</f>
        <v>Based on the response to REQU-04 on the "START HERE" tab, this question does not apply to this product or service.</v>
      </c>
      <c r="F39" s="208" t="str">
        <f>VLOOKUP($A39,'Institution Evaluation'!$A$56:$F$346,6,0)&amp;""</f>
        <v/>
      </c>
      <c r="G39" s="255" t="s">
        <v>1531</v>
      </c>
      <c r="I39" s="42"/>
      <c r="J39" s="42"/>
    </row>
    <row r="40" spans="1:10" s="1" customFormat="1" ht="37.4" customHeight="1" thickBot="1" x14ac:dyDescent="0.3">
      <c r="A40" s="70" t="str">
        <f>VLOOKUP(LEFT($A41,4),'Auto Responses'!$N$4:$O$38,2,0)&amp;""</f>
        <v xml:space="preserve"> AI Machine Learning</v>
      </c>
      <c r="B40" s="29"/>
      <c r="C40" s="19" t="s">
        <v>1583</v>
      </c>
      <c r="D40" s="19" t="s">
        <v>72</v>
      </c>
      <c r="E40" s="38" t="s">
        <v>904</v>
      </c>
      <c r="F40" s="209" t="s">
        <v>905</v>
      </c>
      <c r="I40" s="42"/>
      <c r="J40" s="42"/>
    </row>
    <row r="41" spans="1:10" s="1" customFormat="1" ht="97.5" customHeight="1" x14ac:dyDescent="0.25">
      <c r="A41" s="25" t="s">
        <v>842</v>
      </c>
      <c r="B41" s="24" t="str">
        <f>VLOOKUP($A41,Questions!$A$2:$X$333,2,0)</f>
        <v>Do you separate ML training data from your ML solution data?*</v>
      </c>
      <c r="C41" s="27"/>
      <c r="D41" s="333"/>
      <c r="E41" s="174" t="str">
        <f>IF($C$18="No",'Auto Responses'!$A$6,IF($C$20="No",'Auto Responses'!$A$10,IF($C41="Yes",VLOOKUP($A41,Questions!$A$2:$X$333,17,0)&amp;"",IF($C41="No",VLOOKUP($A41,Questions!$A$2:$X$333,16,0)&amp;"",VLOOKUP($A41,Questions!$A$2:$X$333,15,0)&amp;""))))</f>
        <v>Based on the response to REQU-04 on the "START HERE" tab, this question does not apply to this product or service.</v>
      </c>
      <c r="F41" s="208" t="str">
        <f>VLOOKUP($A41,'Institution Evaluation'!$A$56:$F$346,6,0)&amp;""</f>
        <v/>
      </c>
      <c r="I41" s="42"/>
      <c r="J41" s="42"/>
    </row>
    <row r="42" spans="1:10" s="1" customFormat="1" ht="74.25" customHeight="1" x14ac:dyDescent="0.25">
      <c r="A42" s="25" t="s">
        <v>844</v>
      </c>
      <c r="B42" s="24" t="str">
        <f>VLOOKUP($A42,Questions!$A$2:$X$333,2,0)</f>
        <v>Do you authenticate and verify your ML model's feedback?*</v>
      </c>
      <c r="C42" s="27"/>
      <c r="D42" s="333"/>
      <c r="E42" s="174" t="str">
        <f>IF($C$18="No",'Auto Responses'!$A$6,IF($C$20="No",'Auto Responses'!$A$10,IF($C42="Yes",VLOOKUP($A42,Questions!$A$2:$X$333,17,0)&amp;"",IF($C42="No",VLOOKUP($A42,Questions!$A$2:$X$333,16,0)&amp;"",VLOOKUP($A42,Questions!$A$2:$X$333,15,0)&amp;""))))</f>
        <v>Based on the response to REQU-04 on the "START HERE" tab, this question does not apply to this product or service.</v>
      </c>
      <c r="F42" s="208" t="str">
        <f>VLOOKUP($A42,'Institution Evaluation'!$A$56:$F$346,6,0)&amp;""</f>
        <v/>
      </c>
      <c r="I42" s="42"/>
      <c r="J42" s="42"/>
    </row>
    <row r="43" spans="1:10" s="1" customFormat="1" ht="110.25" customHeight="1" x14ac:dyDescent="0.25">
      <c r="A43" s="25" t="s">
        <v>846</v>
      </c>
      <c r="B43" s="24" t="str">
        <f>VLOOKUP($A43,Questions!$A$2:$X$333,2,0)</f>
        <v>Is your ML training data vetted, validated, and verified before training the solution's AI model?</v>
      </c>
      <c r="C43" s="27"/>
      <c r="D43" s="333"/>
      <c r="E43" s="174" t="str">
        <f>IF($C$18="No",'Auto Responses'!$A$6,IF($C$20="No",'Auto Responses'!$A$10,IF($C43="Yes",VLOOKUP($A43,Questions!$A$2:$X$333,17,0)&amp;"",IF($C43="No",VLOOKUP($A43,Questions!$A$2:$X$333,16,0)&amp;"",VLOOKUP($A43,Questions!$A$2:$X$333,15,0)&amp;""))))</f>
        <v>Based on the response to REQU-04 on the "START HERE" tab, this question does not apply to this product or service.</v>
      </c>
      <c r="F43" s="208" t="str">
        <f>VLOOKUP($A43,'Institution Evaluation'!$A$56:$F$346,6,0)&amp;""</f>
        <v/>
      </c>
      <c r="I43" s="42"/>
      <c r="J43" s="42"/>
    </row>
    <row r="44" spans="1:10" s="1" customFormat="1" ht="38.25" customHeight="1" x14ac:dyDescent="0.25">
      <c r="A44" s="25" t="s">
        <v>849</v>
      </c>
      <c r="B44" s="24" t="str">
        <f>VLOOKUP($A44,Questions!$A$2:$X$333,2,0)</f>
        <v>Is your ML training data monitored and audited?</v>
      </c>
      <c r="C44" s="27"/>
      <c r="D44" s="333"/>
      <c r="E44" s="174" t="str">
        <f>IF($C$18="No",'Auto Responses'!$A$6,IF($C$20="No",'Auto Responses'!$A$10,IF($C44="Yes",VLOOKUP($A44,Questions!$A$2:$X$333,17,0)&amp;"",IF($C44="No",VLOOKUP($A44,Questions!$A$2:$X$333,16,0)&amp;"",VLOOKUP($A44,Questions!$A$2:$X$333,15,0)&amp;""))))</f>
        <v>Based on the response to REQU-04 on the "START HERE" tab, this question does not apply to this product or service.</v>
      </c>
      <c r="F44" s="208" t="str">
        <f>VLOOKUP($A44,'Institution Evaluation'!$A$56:$F$346,6,0)&amp;""</f>
        <v/>
      </c>
      <c r="I44" s="42"/>
      <c r="J44" s="42"/>
    </row>
    <row r="45" spans="1:10" s="1" customFormat="1" ht="63" customHeight="1" x14ac:dyDescent="0.25">
      <c r="A45" s="25" t="s">
        <v>852</v>
      </c>
      <c r="B45" s="24" t="str">
        <f>VLOOKUP($A45,Questions!$A$2:$X$333,2,0)</f>
        <v>Have you limited access to your ML training data to only staff with an explicit business need?</v>
      </c>
      <c r="C45" s="27"/>
      <c r="D45" s="333"/>
      <c r="E45" s="174" t="str">
        <f>IF($C$18="No",'Auto Responses'!$A$6,IF($C$20="No",'Auto Responses'!$A$10,IF($C45="Yes",VLOOKUP($A45,Questions!$A$2:$X$333,17,0)&amp;"",IF($C45="No",VLOOKUP($A45,Questions!$A$2:$X$333,16,0)&amp;"",VLOOKUP($A45,Questions!$A$2:$X$333,15,0)&amp;""))))</f>
        <v>Based on the response to REQU-04 on the "START HERE" tab, this question does not apply to this product or service.</v>
      </c>
      <c r="F45" s="208" t="str">
        <f>VLOOKUP($A45,'Institution Evaluation'!$A$56:$F$346,6,0)&amp;""</f>
        <v/>
      </c>
      <c r="I45" s="42"/>
      <c r="J45" s="42"/>
    </row>
    <row r="46" spans="1:10" s="1" customFormat="1" ht="101.25" customHeight="1" x14ac:dyDescent="0.25">
      <c r="A46" s="25" t="s">
        <v>854</v>
      </c>
      <c r="B46" s="24" t="str">
        <f>VLOOKUP($A46,Questions!$A$2:$X$333,2,0)</f>
        <v>Have you implemented adversarial training or other model defense mechanisms to protect your ML-related features?</v>
      </c>
      <c r="C46" s="27"/>
      <c r="D46" s="333"/>
      <c r="E46" s="174" t="str">
        <f>IF($C$18="No",'Auto Responses'!$A$6,IF($C$20="No",'Auto Responses'!$A$10,IF($C46="Yes",VLOOKUP($A46,Questions!$A$2:$X$333,17,0)&amp;"",IF($C46="No",VLOOKUP($A46,Questions!$A$2:$X$333,16,0)&amp;"",VLOOKUP($A46,Questions!$A$2:$X$333,15,0)&amp;""))))</f>
        <v>Based on the response to REQU-04 on the "START HERE" tab, this question does not apply to this product or service.</v>
      </c>
      <c r="F46" s="208" t="str">
        <f>VLOOKUP($A46,'Institution Evaluation'!$A$56:$F$346,6,0)&amp;""</f>
        <v/>
      </c>
      <c r="I46" s="42"/>
      <c r="J46" s="42"/>
    </row>
    <row r="47" spans="1:10" s="1" customFormat="1" ht="102.75" customHeight="1" x14ac:dyDescent="0.25">
      <c r="A47" s="25" t="s">
        <v>856</v>
      </c>
      <c r="B47" s="24" t="str">
        <f>VLOOKUP($A47,Questions!$A$2:$X$333,2,0)</f>
        <v>Do you make your ML model transparent through documentation and log inputs and outputs?</v>
      </c>
      <c r="C47" s="27"/>
      <c r="D47" s="333"/>
      <c r="E47" s="174" t="str">
        <f>IF($C$18="No",'Auto Responses'!$A$6,IF($C$20="No",'Auto Responses'!$A$10,IF($C47="Yes",VLOOKUP($A47,Questions!$A$2:$X$333,17,0)&amp;"",IF($C47="No",VLOOKUP($A47,Questions!$A$2:$X$333,16,0)&amp;"",VLOOKUP($A47,Questions!$A$2:$X$333,15,0)&amp;""))))</f>
        <v>Based on the response to REQU-04 on the "START HERE" tab, this question does not apply to this product or service.</v>
      </c>
      <c r="F47" s="208" t="str">
        <f>VLOOKUP($A47,'Institution Evaluation'!$A$56:$F$346,6,0)&amp;""</f>
        <v/>
      </c>
      <c r="I47" s="42"/>
      <c r="J47" s="42"/>
    </row>
    <row r="48" spans="1:10" s="1" customFormat="1" ht="67.5" customHeight="1" thickBot="1" x14ac:dyDescent="0.3">
      <c r="A48" s="25" t="s">
        <v>859</v>
      </c>
      <c r="B48" s="24" t="str">
        <f>VLOOKUP($A48,Questions!$A$2:$X$333,2,0)</f>
        <v>Do you watermark your ML training data?</v>
      </c>
      <c r="C48" s="27"/>
      <c r="D48" s="333"/>
      <c r="E48" s="174" t="str">
        <f>IF($C$18="No",'Auto Responses'!$A$6,IF($C$20="No",'Auto Responses'!$A$10,IF($C48="Yes",VLOOKUP($A48,Questions!$A$2:$X$333,17,0)&amp;"",IF($C48="No",VLOOKUP($A48,Questions!$A$2:$X$333,16,0)&amp;"",VLOOKUP($A48,Questions!$A$2:$X$333,15,0)&amp;""))))</f>
        <v>Based on the response to REQU-04 on the "START HERE" tab, this question does not apply to this product or service.</v>
      </c>
      <c r="F48" s="208" t="str">
        <f>VLOOKUP($A48,'Institution Evaluation'!$A$56:$F$346,6,0)&amp;""</f>
        <v/>
      </c>
      <c r="G48" s="255" t="s">
        <v>1531</v>
      </c>
      <c r="I48" s="42"/>
      <c r="J48" s="42"/>
    </row>
    <row r="49" spans="1:12" s="1" customFormat="1" ht="37.4" customHeight="1" thickBot="1" x14ac:dyDescent="0.3">
      <c r="A49" s="70" t="str">
        <f>VLOOKUP(LEFT($A50,4),'Auto Responses'!$N$4:$O$38,2,0)&amp;""</f>
        <v xml:space="preserve"> AI Large Language Model (LLM)</v>
      </c>
      <c r="B49" s="29"/>
      <c r="C49" s="19" t="s">
        <v>1583</v>
      </c>
      <c r="D49" s="19" t="s">
        <v>72</v>
      </c>
      <c r="E49" s="38" t="s">
        <v>904</v>
      </c>
      <c r="F49" s="209" t="s">
        <v>905</v>
      </c>
      <c r="I49" s="42"/>
      <c r="J49" s="42"/>
    </row>
    <row r="50" spans="1:12" s="1" customFormat="1" ht="60" customHeight="1" x14ac:dyDescent="0.25">
      <c r="A50" s="25" t="s">
        <v>861</v>
      </c>
      <c r="B50" s="24" t="str">
        <f>VLOOKUP($A50,Questions!$A$2:$X$333,2,0)</f>
        <v>Do you limit your solution's LLM privileges by default?*</v>
      </c>
      <c r="C50" s="27"/>
      <c r="D50" s="333"/>
      <c r="E50" s="174" t="str">
        <f>IF($C$18="No",'Auto Responses'!$A$6,IF($C$21="No",'Auto Responses'!$A$11,IF($C50="Yes",VLOOKUP($A50,Questions!$A$2:$X$333,17,0)&amp;"",IF($C50="No",VLOOKUP($A50,Questions!$A$2:$X$333,16,0)&amp;"",VLOOKUP($A50,Questions!$A$2:$X$333,15,0)&amp;""))))</f>
        <v>Based on the response to REQU-04 on the "START HERE" tab, this question does not apply to this product or service.</v>
      </c>
      <c r="F50" s="208" t="str">
        <f>VLOOKUP($A50,'Institution Evaluation'!$A$56:$F$346,6,0)&amp;""</f>
        <v/>
      </c>
      <c r="I50" s="42"/>
      <c r="J50" s="42"/>
    </row>
    <row r="51" spans="1:12" s="1" customFormat="1" ht="102.75" customHeight="1" x14ac:dyDescent="0.25">
      <c r="A51" s="25" t="s">
        <v>862</v>
      </c>
      <c r="B51" s="24" t="str">
        <f>VLOOKUP($A51,Questions!$A$2:$X$333,2,0)</f>
        <v>Is your LLM training data vetted, validated, and verified before training the solution's AI model?*</v>
      </c>
      <c r="C51" s="27"/>
      <c r="D51" s="333"/>
      <c r="E51" s="174" t="str">
        <f>IF($C$18="No",'Auto Responses'!$A$6,IF($C$21="No",'Auto Responses'!$A$11,IF($C51="Yes",VLOOKUP($A51,Questions!$A$2:$X$333,17,0)&amp;"",IF($C51="No",VLOOKUP($A51,Questions!$A$2:$X$333,16,0)&amp;"",VLOOKUP($A51,Questions!$A$2:$X$333,15,0)&amp;""))))</f>
        <v>Based on the response to REQU-04 on the "START HERE" tab, this question does not apply to this product or service.</v>
      </c>
      <c r="F51" s="208" t="str">
        <f>VLOOKUP($A51,'Institution Evaluation'!$A$56:$F$346,6,0)&amp;""</f>
        <v/>
      </c>
      <c r="I51" s="42"/>
      <c r="J51" s="42"/>
    </row>
    <row r="52" spans="1:12" s="1" customFormat="1" ht="75.75" customHeight="1" x14ac:dyDescent="0.25">
      <c r="A52" s="25" t="s">
        <v>864</v>
      </c>
      <c r="B52" s="24" t="str">
        <f>VLOOKUP($A52,Questions!$A$2:$X$333,2,0)</f>
        <v>Do any actions taken by your solution's LLM features or plugins require human intervention?*</v>
      </c>
      <c r="C52" s="27"/>
      <c r="D52" s="333"/>
      <c r="E52" s="174" t="str">
        <f>IF($C$18="No",'Auto Responses'!$A$6,IF($C$21="No",'Auto Responses'!$A$11,IF($C52="Yes",VLOOKUP($A52,Questions!$A$2:$X$333,17,0)&amp;"",IF($C52="No",VLOOKUP($A52,Questions!$A$2:$X$333,16,0)&amp;"",VLOOKUP($A52,Questions!$A$2:$X$333,15,0)&amp;""))))</f>
        <v>Based on the response to REQU-04 on the "START HERE" tab, this question does not apply to this product or service.</v>
      </c>
      <c r="F52" s="208" t="str">
        <f>VLOOKUP($A52,'Institution Evaluation'!$A$56:$F$346,6,0)&amp;""</f>
        <v/>
      </c>
      <c r="I52" s="42"/>
      <c r="J52" s="42"/>
    </row>
    <row r="53" spans="1:12" s="1" customFormat="1" ht="67.5" customHeight="1" x14ac:dyDescent="0.25">
      <c r="A53" s="25" t="s">
        <v>866</v>
      </c>
      <c r="B53" s="24" t="str">
        <f>VLOOKUP($A53,Questions!$A$2:$X$333,2,0)</f>
        <v>Do you limit multiple LLM model plugins being called as part of a single input?*</v>
      </c>
      <c r="C53" s="27"/>
      <c r="D53" s="333"/>
      <c r="E53" s="174" t="str">
        <f>IF($C$18="No",'Auto Responses'!$A$6,IF($C$21="No",'Auto Responses'!$A$11,IF($C53="Yes",VLOOKUP($A53,Questions!$A$2:$X$333,17,0)&amp;"",IF($C53="No",VLOOKUP($A53,Questions!$A$2:$X$333,16,0)&amp;"",VLOOKUP($A53,Questions!$A$2:$X$333,15,0)&amp;""))))</f>
        <v>Based on the response to REQU-04 on the "START HERE" tab, this question does not apply to this product or service.</v>
      </c>
      <c r="F53" s="208" t="str">
        <f>VLOOKUP($A53,'Institution Evaluation'!$A$56:$F$346,6,0)&amp;""</f>
        <v/>
      </c>
      <c r="I53" s="42"/>
      <c r="J53" s="42"/>
    </row>
    <row r="54" spans="1:12" s="1" customFormat="1" ht="49.5" customHeight="1" x14ac:dyDescent="0.25">
      <c r="A54" s="25" t="s">
        <v>868</v>
      </c>
      <c r="B54" s="24" t="str">
        <f>VLOOKUP($A54,Questions!$A$2:$X$333,2,0)</f>
        <v>Do you limit your solution's LLM resource use per request, per step, and per action?</v>
      </c>
      <c r="C54" s="27"/>
      <c r="D54" s="333"/>
      <c r="E54" s="174" t="str">
        <f>IF($C$18="No",'Auto Responses'!$A$6,IF($C$21="No",'Auto Responses'!$A$11,IF($C54="Yes",VLOOKUP($A54,Questions!$A$2:$X$333,17,0)&amp;"",IF($C54="No",VLOOKUP($A54,Questions!$A$2:$X$333,16,0)&amp;"",VLOOKUP($A54,Questions!$A$2:$X$333,15,0)&amp;""))))</f>
        <v>Based on the response to REQU-04 on the "START HERE" tab, this question does not apply to this product or service.</v>
      </c>
      <c r="F54" s="208" t="str">
        <f>VLOOKUP($A54,'Institution Evaluation'!$A$56:$F$346,6,0)&amp;""</f>
        <v/>
      </c>
      <c r="I54" s="42"/>
      <c r="J54" s="42"/>
    </row>
    <row r="55" spans="1:12" s="1" customFormat="1" ht="55.5" customHeight="1" x14ac:dyDescent="0.25">
      <c r="A55" s="25" t="s">
        <v>870</v>
      </c>
      <c r="B55" s="24" t="str">
        <f>VLOOKUP($A55,Questions!$A$2:$X$333,2,0)</f>
        <v>Do you leverage LLM model tuning or other model validation mechanisms?</v>
      </c>
      <c r="C55" s="27"/>
      <c r="D55" s="333"/>
      <c r="E55" s="174" t="str">
        <f>IF($C$18="No",'Auto Responses'!$A$6,IF($C$21="No",'Auto Responses'!$A$11,IF($C55="Yes",VLOOKUP($A55,Questions!$A$2:$X$333,17,0)&amp;"",IF($C55="No",VLOOKUP($A55,Questions!$A$2:$X$333,16,0)&amp;"",VLOOKUP($A55,Questions!$A$2:$X$333,15,0)&amp;""))))</f>
        <v>Based on the response to REQU-04 on the "START HERE" tab, this question does not apply to this product or service.</v>
      </c>
      <c r="F55" s="208" t="str">
        <f>VLOOKUP($A55,'Institution Evaluation'!$A$56:$F$346,6,0)&amp;""</f>
        <v/>
      </c>
      <c r="G55" s="255" t="s">
        <v>1531</v>
      </c>
      <c r="I55" s="42"/>
      <c r="J55" s="42"/>
    </row>
    <row r="56" spans="1:12" s="1" customFormat="1" ht="33" customHeight="1" x14ac:dyDescent="0.25">
      <c r="A56" s="285" t="s">
        <v>1593</v>
      </c>
      <c r="C56" s="14"/>
      <c r="D56" s="15"/>
      <c r="E56" s="256" t="s">
        <v>1532</v>
      </c>
      <c r="F56" s="206"/>
      <c r="G56" s="206"/>
      <c r="I56" s="42"/>
      <c r="J56" s="42"/>
    </row>
    <row r="57" spans="1:12" s="1" customFormat="1" ht="15" hidden="1" customHeight="1" x14ac:dyDescent="0.25">
      <c r="A57"/>
      <c r="C57" s="14"/>
      <c r="D57" s="15"/>
      <c r="E57" s="16"/>
      <c r="F57" s="206"/>
      <c r="G57" s="206"/>
      <c r="I57" s="42"/>
      <c r="J57" s="42"/>
    </row>
    <row r="58" spans="1:12" ht="15" hidden="1" customHeight="1" x14ac:dyDescent="0.25">
      <c r="A58" s="1"/>
      <c r="B58" s="14"/>
      <c r="C58" s="78"/>
      <c r="D58" s="16"/>
      <c r="E58" s="1"/>
      <c r="F58" s="206"/>
      <c r="G58" s="206"/>
      <c r="H58" s="42"/>
      <c r="I58" s="1"/>
      <c r="J58" s="1"/>
      <c r="L58"/>
    </row>
    <row r="59" spans="1:12" ht="0" hidden="1" customHeight="1" x14ac:dyDescent="0.25">
      <c r="A59" s="25" t="e">
        <f>#REF!</f>
        <v>#REF!</v>
      </c>
    </row>
    <row r="60" spans="1:12" ht="0" hidden="1" customHeight="1" x14ac:dyDescent="0.25">
      <c r="A60" s="25" t="e">
        <f>#REF!</f>
        <v>#REF!</v>
      </c>
    </row>
    <row r="61" spans="1:12" ht="0" hidden="1" customHeight="1" x14ac:dyDescent="0.25">
      <c r="A61" s="25" t="e">
        <f>#REF!</f>
        <v>#REF!</v>
      </c>
    </row>
    <row r="62" spans="1:12" ht="0" hidden="1" customHeight="1" x14ac:dyDescent="0.25">
      <c r="A62" s="25" t="e">
        <f>#REF!</f>
        <v>#REF!</v>
      </c>
    </row>
    <row r="63" spans="1:12" ht="0" hidden="1" customHeight="1" x14ac:dyDescent="0.25">
      <c r="A63" s="25" t="e">
        <f>#REF!</f>
        <v>#REF!</v>
      </c>
    </row>
    <row r="64" spans="1:12" ht="0" hidden="1" customHeight="1" x14ac:dyDescent="0.25">
      <c r="A64" s="25" t="e">
        <f>#REF!</f>
        <v>#REF!</v>
      </c>
    </row>
    <row r="65" spans="1:1" ht="0" hidden="1" customHeight="1" x14ac:dyDescent="0.25">
      <c r="A65" s="25" t="e">
        <f>#REF!</f>
        <v>#REF!</v>
      </c>
    </row>
    <row r="1048576" ht="3" customHeight="1" x14ac:dyDescent="0.25"/>
  </sheetData>
  <dataValidations count="3">
    <dataValidation allowBlank="1" showInputMessage="1" showErrorMessage="1" promptTitle="Warning!" prompt="The HECVAT is built using a number of complex formulas. Editing this cell can break the functionality of the tool. " sqref="C2 A3:A56 C17:D17 C19:D19 C22:D22 C28:D28 C34:D34 C40:D40 C49:D49 C5:F12 D2:F3 B2:B56 E17:F55" xr:uid="{D957C704-29A7-4E2E-96F4-55C2ABCFEFBB}"/>
    <dataValidation allowBlank="1" showInputMessage="1" showErrorMessage="1" prompt="This answer has been populated from the &quot;START HERE&quot; tab and does not need to be re-entered." sqref="C3 C13:C16 C18" xr:uid="{30BA73FE-03A4-4CD8-A769-22A8872A9584}"/>
    <dataValidation allowBlank="1" showInputMessage="1" showErrorMessage="1" prompt="This cell should be left blank. Input your answer in column C." sqref="D26 D38" xr:uid="{1CB86E03-4CBF-4685-88CA-5B7D041CA65F}"/>
  </dataValidations>
  <hyperlinks>
    <hyperlink ref="A11" r:id="rId1" display="http://www.educause.edu/HECVAT" xr:uid="{602CAADE-C9DE-4C08-8CEB-79EAE89E27C8}"/>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C3640CB-DA36-4094-8E52-220F93F2F0F1}">
          <x14:formula1>
            <xm:f>'Auto Responses'!$J$3:$J$4</xm:f>
          </x14:formula1>
          <xm:sqref>C20:C21 C50:C55 C41:C48 C39 C35:C37 C23:C25 C27 C29:C31 C33</xm:sqref>
        </x14:dataValidation>
        <x14:dataValidation type="list" allowBlank="1" showInputMessage="1" showErrorMessage="1" xr:uid="{4A23C9A0-1FE5-4D10-AF05-66D34E31FEC6}">
          <x14:formula1>
            <xm:f>'Auto Responses'!$J$3:$J$5</xm:f>
          </x14:formula1>
          <xm:sqref>C32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015A-7AE4-42CD-8DE9-8BFE5E1E3214}">
  <sheetPr>
    <tabColor rgb="FF00636C"/>
  </sheetPr>
  <dimension ref="A1:K117"/>
  <sheetViews>
    <sheetView showGridLines="0" showZeros="0" tabSelected="1" topLeftCell="A3" zoomScale="80" zoomScaleNormal="80" workbookViewId="0">
      <selection activeCell="C90" sqref="C90:D97"/>
    </sheetView>
  </sheetViews>
  <sheetFormatPr defaultColWidth="0" defaultRowHeight="0" customHeight="1" zeroHeight="1" x14ac:dyDescent="0.25"/>
  <cols>
    <col min="1" max="1" width="8.265625" customWidth="1"/>
    <col min="2" max="2" width="55.06640625" style="1" customWidth="1"/>
    <col min="3" max="3" width="18.86328125" style="14" customWidth="1"/>
    <col min="4" max="4" width="55.6640625" style="15" customWidth="1"/>
    <col min="5" max="5" width="32" style="47" customWidth="1"/>
    <col min="6" max="6" width="30.6640625" style="203" customWidth="1"/>
    <col min="7" max="7" width="18.06640625" style="1" customWidth="1"/>
    <col min="8" max="8" width="18.06640625" style="42" hidden="1" customWidth="1"/>
    <col min="9" max="10" width="18.06640625" style="1" hidden="1" customWidth="1"/>
    <col min="11" max="11" width="6.59765625" style="1" hidden="1" customWidth="1"/>
    <col min="12" max="16384" width="6.59765625" hidden="1"/>
  </cols>
  <sheetData>
    <row r="1" spans="1:9" ht="0" hidden="1" customHeight="1" x14ac:dyDescent="0.25">
      <c r="A1" t="s">
        <v>1530</v>
      </c>
    </row>
    <row r="2" spans="1:9" ht="36" customHeight="1" x14ac:dyDescent="0.25">
      <c r="A2" s="175" t="s">
        <v>1458</v>
      </c>
      <c r="B2" s="175"/>
      <c r="C2" s="176"/>
      <c r="D2" s="328"/>
      <c r="E2" s="177"/>
      <c r="F2" s="204" t="str">
        <f>'Auto Responses'!$A$36</f>
        <v>Version 4.1.0</v>
      </c>
    </row>
    <row r="3" spans="1:9" s="1" customFormat="1" ht="29.15" customHeight="1" x14ac:dyDescent="0.25">
      <c r="A3" s="44" t="s">
        <v>996</v>
      </c>
      <c r="B3" s="85"/>
      <c r="C3" s="73">
        <f>'START HERE'!$C$3</f>
        <v>45894</v>
      </c>
      <c r="D3" s="329"/>
      <c r="E3" s="43"/>
      <c r="F3" s="57"/>
      <c r="H3" s="42"/>
    </row>
    <row r="4" spans="1:9" s="1" customFormat="1" ht="36" customHeight="1" x14ac:dyDescent="0.25">
      <c r="A4" s="17" t="s">
        <v>921</v>
      </c>
      <c r="B4" s="18"/>
      <c r="C4" s="19"/>
      <c r="D4" s="20"/>
      <c r="E4" s="21"/>
      <c r="F4" s="21"/>
      <c r="H4" s="42"/>
    </row>
    <row r="5" spans="1:9" s="1" customFormat="1" ht="19.5" customHeight="1" x14ac:dyDescent="0.25">
      <c r="A5" s="49" t="str">
        <f>HLOOKUP($A$4,'Auto Responses'!$D$2:$D$8,2,0)&amp;""</f>
        <v>1. Complete the "Start Here" tab and review the "Required Questions" guidance to find the other sections are required for your product or service.</v>
      </c>
      <c r="B5" s="22"/>
      <c r="C5" s="74"/>
      <c r="D5" s="330"/>
      <c r="E5" s="22"/>
      <c r="F5" s="279"/>
      <c r="I5" s="42"/>
    </row>
    <row r="6" spans="1:9" s="1" customFormat="1" ht="19.5" customHeight="1" x14ac:dyDescent="0.25">
      <c r="A6" s="49" t="str">
        <f>HLOOKUP($A$4,'Auto Responses'!$D$2:$D$8,3,0)&amp;""</f>
        <v>2. Complete the "Organization" tab and the applicable questions in each of the next 5 tabs (Product through Privacy) that apply, based on your answers to the "Required Questions."</v>
      </c>
      <c r="B6" s="22"/>
      <c r="C6" s="74"/>
      <c r="D6" s="330"/>
      <c r="E6" s="22"/>
      <c r="F6" s="280"/>
      <c r="I6" s="42"/>
    </row>
    <row r="7" spans="1:9" s="1" customFormat="1" ht="19.5" customHeight="1" x14ac:dyDescent="0.25">
      <c r="A7" s="49" t="str">
        <f>HLOOKUP($A$4,'Auto Responses'!$D$2:$D$8,4,0)&amp;""</f>
        <v xml:space="preserve">3. Guidance in column E may change based on your answers to prompt details in "Additional Information." If leaving an answer blank, you must also state why in "Additional Information". </v>
      </c>
      <c r="B7" s="22"/>
      <c r="C7" s="74"/>
      <c r="D7" s="330"/>
      <c r="E7" s="22"/>
      <c r="F7" s="280"/>
      <c r="I7" s="42"/>
    </row>
    <row r="8" spans="1:9" s="1" customFormat="1" ht="19.5" customHeight="1" x14ac:dyDescent="0.25">
      <c r="A8" s="49" t="str">
        <f>HLOOKUP($A$4,'Auto Responses'!$D$2:$D$8,5,0)&amp;""</f>
        <v>4. DO NOT complete any fields in the "Evaluation" sheets or the "Analyst Notes" column.</v>
      </c>
      <c r="B8" s="22"/>
      <c r="C8" s="74"/>
      <c r="D8" s="330"/>
      <c r="E8" s="22"/>
      <c r="F8" s="280"/>
      <c r="I8" s="42"/>
    </row>
    <row r="9" spans="1:9" s="1" customFormat="1" ht="19.5" customHeight="1" x14ac:dyDescent="0.25">
      <c r="A9" s="49" t="str">
        <f>HLOOKUP($A$4,'Auto Responses'!$D$2:$D$8,6,0)&amp;""</f>
        <v>5. Return the completed file to institutions.</v>
      </c>
      <c r="B9" s="22"/>
      <c r="C9" s="74"/>
      <c r="D9" s="330"/>
      <c r="E9" s="22"/>
      <c r="F9" s="280"/>
      <c r="I9" s="42"/>
    </row>
    <row r="10" spans="1:9" s="1" customFormat="1" ht="19.5" customHeight="1" x14ac:dyDescent="0.25">
      <c r="A10" s="265" t="str">
        <f>HLOOKUP($A$4,'Auto Responses'!$D$2:$D$8,7,0)&amp;""</f>
        <v>* Denotes critical questions. Critical questions are those deemed most important to institutions by higher education volunteers.</v>
      </c>
      <c r="B10" s="22"/>
      <c r="C10" s="74"/>
      <c r="D10" s="330"/>
      <c r="E10" s="22"/>
      <c r="F10" s="280"/>
      <c r="I10" s="42"/>
    </row>
    <row r="11" spans="1:9" s="1" customFormat="1" ht="19.5" customHeight="1" x14ac:dyDescent="0.25">
      <c r="A11" s="264" t="str">
        <f>HLOOKUP($A$4,'Auto Responses'!$D$2:$D$9,8,0)&amp;""</f>
        <v>For full instructions, please visit educause.edu/HECVAT</v>
      </c>
      <c r="B11" s="22"/>
      <c r="C11" s="74"/>
      <c r="D11" s="330"/>
      <c r="E11" s="22"/>
      <c r="F11" s="281"/>
      <c r="I11" s="42"/>
    </row>
    <row r="12" spans="1:9" s="1" customFormat="1" ht="36" customHeight="1" x14ac:dyDescent="0.25">
      <c r="A12" s="70" t="str">
        <f>VLOOKUP(LEFT($A13,4),'Auto Responses'!$N$4:$O$38,2,0)&amp;""</f>
        <v xml:space="preserve"> General Information</v>
      </c>
      <c r="B12" s="18"/>
      <c r="C12" s="19" t="s">
        <v>1583</v>
      </c>
      <c r="D12" s="347"/>
      <c r="E12" s="87"/>
      <c r="F12" s="87"/>
      <c r="H12" s="42"/>
    </row>
    <row r="13" spans="1:9" s="1" customFormat="1" ht="22.4" customHeight="1" x14ac:dyDescent="0.25">
      <c r="A13" s="25" t="s">
        <v>21</v>
      </c>
      <c r="B13" s="86" t="str">
        <f>VLOOKUP($A13,Questions!$A$2:$X$333,2,0)&amp;""</f>
        <v>Solution Provider Name</v>
      </c>
      <c r="C13" s="83" t="str">
        <f>VLOOKUP($A13,'START HERE'!$A$13:$C$21,3,0)&amp;""</f>
        <v xml:space="preserve">Cirrus Identity </v>
      </c>
      <c r="D13" s="329"/>
      <c r="E13" s="43"/>
      <c r="F13" s="57"/>
      <c r="H13" s="42"/>
    </row>
    <row r="14" spans="1:9" s="1" customFormat="1" ht="22.4" customHeight="1" x14ac:dyDescent="0.25">
      <c r="A14" s="25" t="s">
        <v>24</v>
      </c>
      <c r="B14" s="86" t="str">
        <f>VLOOKUP($A14,Questions!$A$2:$X$333,2,0)&amp;""</f>
        <v>Solution Name</v>
      </c>
      <c r="C14" s="83" t="str">
        <f>VLOOKUP($A14,'START HERE'!$A$13:$C$21,3,0)&amp;""</f>
        <v>Cirrus Identity Gateway, Cirrus Identity Proxy, Cirrus Identity Bridge, Cirrus Identity Attribute Authority, Cirrus Identity Invitation, Cirrus Identity Account Linking, Cirrus Identity OrgBrandedID, and Cirrus Identity MFA -- Collective referred to as Cirrus Identity Products</v>
      </c>
      <c r="D14" s="329"/>
      <c r="E14" s="43"/>
      <c r="F14" s="57"/>
      <c r="H14" s="42"/>
    </row>
    <row r="15" spans="1:9" s="1" customFormat="1" ht="22.4" customHeight="1" x14ac:dyDescent="0.25">
      <c r="A15" s="25" t="s">
        <v>25</v>
      </c>
      <c r="B15" s="86" t="str">
        <f>VLOOKUP($A15,Questions!$A$2:$X$333,2,0)&amp;""</f>
        <v>Solution Description</v>
      </c>
      <c r="C15" s="83" t="str">
        <f>VLOOKUP($A15,'START HERE'!$A$13:$C$21,3,0)&amp;""</f>
        <v>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v>
      </c>
      <c r="D15" s="329"/>
      <c r="E15" s="43"/>
      <c r="F15" s="57"/>
      <c r="H15" s="42"/>
    </row>
    <row r="16" spans="1:9" s="1" customFormat="1" ht="22.4" customHeight="1" x14ac:dyDescent="0.25">
      <c r="A16" s="25" t="s">
        <v>30</v>
      </c>
      <c r="B16" s="86" t="str">
        <f>VLOOKUP($A16,Questions!$A$2:$X$333,2,0)&amp;""</f>
        <v>Country of Company Headquarters</v>
      </c>
      <c r="C16" s="83" t="str">
        <f>VLOOKUP($A16,'START HERE'!$A$13:$C$21,3,0)&amp;""</f>
        <v>United States</v>
      </c>
      <c r="D16" s="329"/>
      <c r="E16" s="43"/>
      <c r="F16" s="57"/>
      <c r="H16" s="42"/>
    </row>
    <row r="17" spans="1:8" s="1" customFormat="1" ht="22.4" customHeight="1" x14ac:dyDescent="0.25">
      <c r="A17" s="25" t="s">
        <v>32</v>
      </c>
      <c r="B17" s="86" t="str">
        <f>VLOOKUP($A17,Questions!$A$2:$X$333,2,0)&amp;""</f>
        <v>Employee Work Locations (all)</v>
      </c>
      <c r="C17" s="83" t="str">
        <f>VLOOKUP($A17,'START HERE'!$A$13:$C$21,3,0)&amp;""</f>
        <v>United States, Canada, and EU</v>
      </c>
      <c r="D17" s="329"/>
      <c r="E17" s="43"/>
      <c r="F17" s="57"/>
      <c r="H17" s="42"/>
    </row>
    <row r="18" spans="1:8" s="1" customFormat="1" ht="37.4" customHeight="1" thickBot="1" x14ac:dyDescent="0.3">
      <c r="A18" s="70" t="str">
        <f>VLOOKUP(LEFT($A19,4),'Auto Responses'!$N$4:$O$38,2,0)&amp;""</f>
        <v xml:space="preserve"> Required Questions</v>
      </c>
      <c r="B18" s="29"/>
      <c r="C18" s="19" t="s">
        <v>1583</v>
      </c>
      <c r="D18" s="19" t="s">
        <v>72</v>
      </c>
      <c r="E18" s="38" t="s">
        <v>904</v>
      </c>
      <c r="F18" s="210" t="s">
        <v>905</v>
      </c>
      <c r="H18" s="42"/>
    </row>
    <row r="19" spans="1:8" s="1" customFormat="1" ht="38.25" customHeight="1" x14ac:dyDescent="0.25">
      <c r="A19" s="25" t="s">
        <v>58</v>
      </c>
      <c r="B19" s="24" t="str">
        <f>VLOOKUP($A19,Questions!$A$2:$X$333,2,0)</f>
        <v>Does your solution have AI features, or are there plans to implement AI features in the next 12 months?</v>
      </c>
      <c r="C19" s="79" t="str">
        <f>VLOOKUP($A19,'START HERE'!$A$23:$F$36,3,0)&amp;""</f>
        <v>No</v>
      </c>
      <c r="D19" s="332" t="str">
        <f>VLOOKUP($A19,'START HERE'!$A$23:$F$36,4,0)&amp;""</f>
        <v/>
      </c>
      <c r="E19" s="28" t="str">
        <f>IF($C19="Yes",VLOOKUP($A19,Questions!$A$2:$X$333,17,0)&amp;"",IF($C19="No",VLOOKUP($A19,Questions!$A$2:$X$333,16,0)&amp;"",VLOOKUP($A19,Questions!$A$2:$X$333,15,0)&amp;""))</f>
        <v>DO NOT complete the Artificial Intelligence (AI) worksheet</v>
      </c>
      <c r="F19" s="211" t="str">
        <f>VLOOKUP($A19,'START HERE'!$A$23:$F$36,6,0)&amp;""</f>
        <v/>
      </c>
      <c r="H19" s="42"/>
    </row>
    <row r="20" spans="1:8" s="1" customFormat="1" ht="50.25" customHeight="1" x14ac:dyDescent="0.25">
      <c r="A20" s="25" t="s">
        <v>61</v>
      </c>
      <c r="B20" s="24" t="str">
        <f>VLOOKUP($A20,Questions!$A$2:$X$333,2,0)</f>
        <v>Does your solution process protected health information (PHI) or any data covered by the Health Insurance Portability and Accountability Act (HIPAA)?</v>
      </c>
      <c r="C20" s="79" t="str">
        <f>VLOOKUP($A20,'START HERE'!$A$23:$F$36,3,0)&amp;""</f>
        <v>No</v>
      </c>
      <c r="D20" s="332" t="str">
        <f>VLOOKUP($A20,'START HERE'!$A$23:$F$36,4,0)&amp;""</f>
        <v>The Cirrus Identity standard subscription does not cover access control for protected health information (PHI).</v>
      </c>
      <c r="E20" s="28" t="str">
        <f>IF($C20="Yes",VLOOKUP($A20,Questions!$A$2:$X$333,17,0)&amp;"",IF($C20="No",VLOOKUP($A20,Questions!$A$2:$X$333,16,0)&amp;"",VLOOKUP($A20,Questions!$A$2:$X$333,15,0)&amp;""))</f>
        <v>DO NOT complete the HIPAA section in the Case-Specific worksheet</v>
      </c>
      <c r="F20" s="211" t="str">
        <f>VLOOKUP($A20,'START HERE'!$A$23:$F$36,6,0)&amp;""</f>
        <v/>
      </c>
      <c r="H20" s="42"/>
    </row>
    <row r="21" spans="1:8" s="1" customFormat="1" ht="56.25" customHeight="1" x14ac:dyDescent="0.25">
      <c r="A21" s="25" t="s">
        <v>64</v>
      </c>
      <c r="B21" s="24" t="str">
        <f>VLOOKUP($A21,Questions!$A$2:$X$333,2,0)</f>
        <v>Is the solution designed to process, store, or transmit credit card information?</v>
      </c>
      <c r="C21" s="79" t="str">
        <f>VLOOKUP($A21,'START HERE'!$A$23:$F$36,3,0)&amp;""</f>
        <v>No</v>
      </c>
      <c r="D21" s="332" t="str">
        <f>VLOOKUP($A21,'START HERE'!$A$23:$F$36,4,0)&amp;""</f>
        <v>The Cirrus Identity standard subscription does not cover access control for data covered by the PCI-DSS standard.</v>
      </c>
      <c r="E21" s="28" t="str">
        <f>IF($C21="Yes",VLOOKUP($A21,Questions!$A$2:$X$333,17,0)&amp;"",IF($C21="No",VLOOKUP($A21,Questions!$A$2:$X$333,16,0)&amp;"",VLOOKUP($A21,Questions!$A$2:$X$333,15,0)&amp;""))</f>
        <v>DO NOT complete the PCI-DSS section in the Case-Specific worksheet</v>
      </c>
      <c r="F21" s="211" t="str">
        <f>VLOOKUP($A21,'START HERE'!$A$23:$F$36,6,0)&amp;""</f>
        <v/>
      </c>
      <c r="H21" s="42"/>
    </row>
    <row r="22" spans="1:8" s="1" customFormat="1" ht="56.25" customHeight="1" thickBot="1" x14ac:dyDescent="0.3">
      <c r="A22" s="25" t="s">
        <v>1025</v>
      </c>
      <c r="B22" s="24" t="str">
        <f>VLOOKUP($A22,Questions!$A$2:$X$333,2,0)</f>
        <v>Does your solution have access to personal or institutional data?</v>
      </c>
      <c r="C22" s="79" t="str">
        <f>VLOOKUP($A22,'START HERE'!$A$23:$F$36,3,0)&amp;""</f>
        <v>Yes</v>
      </c>
      <c r="D22" s="332" t="str">
        <f>VLOOKUP($A22,'START HERE'!$A$23:$F$36,4,0)&amp;""</f>
        <v/>
      </c>
      <c r="E22" s="28" t="str">
        <f>IF($C22="Yes",VLOOKUP($A22,Questions!$A$2:$X$333,17,0)&amp;"",IF($C22="No",VLOOKUP($A22,Questions!$A$2:$X$333,16,0)&amp;"",VLOOKUP($A22,Questions!$A$2:$X$333,15,0)&amp;""))</f>
        <v>DO complete the Privacy tab</v>
      </c>
      <c r="F22" s="211" t="str">
        <f>VLOOKUP($A22,'START HERE'!$A$23:$F$36,6,0)&amp;""</f>
        <v/>
      </c>
      <c r="G22" s="255" t="s">
        <v>1531</v>
      </c>
      <c r="H22" s="42"/>
    </row>
    <row r="23" spans="1:8" s="1" customFormat="1" ht="37.4" customHeight="1" thickBot="1" x14ac:dyDescent="0.3">
      <c r="A23" s="70" t="str">
        <f>VLOOKUP(LEFT($A24,4),'Auto Responses'!$N$4:$O$38,2,0)&amp;""</f>
        <v xml:space="preserve"> General Privacy</v>
      </c>
      <c r="B23" s="29"/>
      <c r="C23" s="19" t="s">
        <v>1583</v>
      </c>
      <c r="D23" s="19" t="s">
        <v>72</v>
      </c>
      <c r="E23" s="38" t="s">
        <v>904</v>
      </c>
      <c r="F23" s="209" t="s">
        <v>905</v>
      </c>
      <c r="H23" s="42"/>
    </row>
    <row r="24" spans="1:8" s="1" customFormat="1" ht="29.25" customHeight="1" x14ac:dyDescent="0.25">
      <c r="A24" s="25" t="s">
        <v>913</v>
      </c>
      <c r="B24" s="24" t="str">
        <f>VLOOKUP($A24,Questions!$A$2:$X$333,2,0)</f>
        <v>Does your solution process FERPA-related data?</v>
      </c>
      <c r="C24" s="27" t="s">
        <v>40</v>
      </c>
      <c r="D24" s="346" t="s">
        <v>1787</v>
      </c>
      <c r="E24" s="28" t="str">
        <f>IF($C24="Yes",VLOOKUP($A24,Questions!$A$2:$X$333,17,0)&amp;"",IF($C24="No",VLOOKUP($A24,Questions!$A$2:$X$333,16,0)&amp;"",VLOOKUP($A24,Questions!$A$2:$X$333,15,0)&amp;""))</f>
        <v/>
      </c>
      <c r="F24" s="211" t="str">
        <f>VLOOKUP($A24,'Privacy Analyst Evaluation'!$A$46:$F$120,6,0)&amp;""</f>
        <v/>
      </c>
      <c r="H24" s="42"/>
    </row>
    <row r="25" spans="1:8" s="1" customFormat="1" ht="27" customHeight="1" x14ac:dyDescent="0.25">
      <c r="A25" s="25" t="s">
        <v>914</v>
      </c>
      <c r="B25" s="24" t="str">
        <f>VLOOKUP($A25,Questions!$A$2:$X$333,2,0)</f>
        <v>Does your solution process GDPR-related or PIPL-related data?</v>
      </c>
      <c r="C25" s="27" t="s">
        <v>40</v>
      </c>
      <c r="D25" s="346" t="s">
        <v>1787</v>
      </c>
      <c r="E25" s="28" t="str">
        <f>IF($C25="Yes",VLOOKUP($A25,Questions!$A$2:$X$333,17,0)&amp;"",IF($C25="No",VLOOKUP($A25,Questions!$A$2:$X$333,16,0)&amp;"",VLOOKUP($A25,Questions!$A$2:$X$333,15,0)&amp;""))</f>
        <v/>
      </c>
      <c r="F25" s="211" t="str">
        <f>VLOOKUP($A25,'Privacy Analyst Evaluation'!$A$46:$F$120,6,0)&amp;""</f>
        <v/>
      </c>
      <c r="H25" s="42"/>
    </row>
    <row r="26" spans="1:8" s="1" customFormat="1" ht="35.25" customHeight="1" x14ac:dyDescent="0.25">
      <c r="A26" s="25" t="s">
        <v>915</v>
      </c>
      <c r="B26" s="24" t="str">
        <f>VLOOKUP($A26,Questions!$A$2:$X$333,2,0)</f>
        <v>Does your solution process personal data regulated by state law(s) (e.g., CCPA)?</v>
      </c>
      <c r="C26" s="27" t="s">
        <v>40</v>
      </c>
      <c r="D26" s="346" t="s">
        <v>1787</v>
      </c>
      <c r="E26" s="28" t="str">
        <f>IF($C26="Yes",VLOOKUP($A26,Questions!$A$2:$X$333,17,0)&amp;"",IF($C26="No",VLOOKUP($A26,Questions!$A$2:$X$333,16,0)&amp;"",VLOOKUP($A26,Questions!$A$2:$X$333,15,0)&amp;""))</f>
        <v/>
      </c>
      <c r="F26" s="211" t="str">
        <f>VLOOKUP($A26,'Privacy Analyst Evaluation'!$A$46:$F$120,6,0)&amp;""</f>
        <v/>
      </c>
      <c r="H26" s="42"/>
    </row>
    <row r="27" spans="1:8" s="1" customFormat="1" ht="39" customHeight="1" x14ac:dyDescent="0.25">
      <c r="A27" s="25" t="s">
        <v>916</v>
      </c>
      <c r="B27" s="24" t="str">
        <f>VLOOKUP($A27,Questions!$A$2:$X$333,2,0)</f>
        <v>Does your solution process user-provided data that may contain regulated information?</v>
      </c>
      <c r="C27" s="27" t="s">
        <v>149</v>
      </c>
      <c r="D27" s="346" t="s">
        <v>1788</v>
      </c>
      <c r="E27" s="28" t="str">
        <f>IF($C27="Yes",VLOOKUP($A27,Questions!$A$2:$X$333,17,0)&amp;"",IF($C27="No",VLOOKUP($A27,Questions!$A$2:$X$333,16,0)&amp;"",VLOOKUP($A27,Questions!$A$2:$X$333,15,0)&amp;""))</f>
        <v/>
      </c>
      <c r="F27" s="211" t="str">
        <f>VLOOKUP($A27,'Privacy Analyst Evaluation'!$A$46:$F$120,6,0)&amp;""</f>
        <v/>
      </c>
      <c r="H27" s="42"/>
    </row>
    <row r="28" spans="1:8" s="1" customFormat="1" ht="27.75" customHeight="1" thickBot="1" x14ac:dyDescent="0.3">
      <c r="A28" s="25" t="s">
        <v>917</v>
      </c>
      <c r="B28" s="24" t="str">
        <f>VLOOKUP($A28,Questions!$A$2:$X$333,2,0)</f>
        <v>Web Link to Product/Service Privacy Notice</v>
      </c>
      <c r="C28" s="83"/>
      <c r="D28" s="340" t="s">
        <v>1666</v>
      </c>
      <c r="E28" s="28" t="str">
        <f>IF($C28="Yes",VLOOKUP($A28,Questions!$A$2:$X$333,17,0)&amp;"",IF($C28="No",VLOOKUP($A28,Questions!$A$2:$X$333,16,0)&amp;"",VLOOKUP($A28,Questions!$A$2:$X$333,15,0)&amp;""))</f>
        <v/>
      </c>
      <c r="F28" s="211" t="str">
        <f>VLOOKUP($A28,'Privacy Analyst Evaluation'!$A$46:$F$120,6,0)&amp;""</f>
        <v/>
      </c>
      <c r="G28" s="255" t="s">
        <v>1531</v>
      </c>
      <c r="H28" s="42"/>
    </row>
    <row r="29" spans="1:8" s="1" customFormat="1" ht="37.4" customHeight="1" thickBot="1" x14ac:dyDescent="0.3">
      <c r="A29" s="70" t="str">
        <f>VLOOKUP(LEFT($A30,4),'Auto Responses'!$N$4:$O$38,2,0)&amp;""</f>
        <v xml:space="preserve"> Privacy-Specific Company Details</v>
      </c>
      <c r="B29" s="29"/>
      <c r="C29" s="19" t="s">
        <v>1583</v>
      </c>
      <c r="D29" s="19" t="s">
        <v>72</v>
      </c>
      <c r="E29" s="38" t="s">
        <v>904</v>
      </c>
      <c r="F29" s="209" t="s">
        <v>905</v>
      </c>
      <c r="H29" s="42"/>
    </row>
    <row r="30" spans="1:8" s="1" customFormat="1" ht="78" customHeight="1" x14ac:dyDescent="0.25">
      <c r="A30" s="25" t="s">
        <v>714</v>
      </c>
      <c r="B30" s="24" t="str">
        <f>VLOOKUP($A30,Questions!$A$2:$X$333,2,0)</f>
        <v>Have you had a personal data breach in the past three years that involved reporting to a governmental agency, notice to individuals (including voluntary notice), or notice to another organization or institution?*</v>
      </c>
      <c r="C30" s="27" t="s">
        <v>149</v>
      </c>
      <c r="D30" s="346"/>
      <c r="E30" s="28" t="str">
        <f>IF($C30="Yes",VLOOKUP($A30,Questions!$A$2:$X$333,17,0)&amp;"",IF($C30="No",VLOOKUP($A30,Questions!$A$2:$X$333,16,0)&amp;"",VLOOKUP($A30,Questions!$A$2:$X$333,15,0)&amp;""))</f>
        <v/>
      </c>
      <c r="F30" s="211" t="str">
        <f>VLOOKUP($A30,'Privacy Analyst Evaluation'!$A$46:$F$120,6,0)&amp;""</f>
        <v/>
      </c>
      <c r="H30" s="42"/>
    </row>
    <row r="31" spans="1:8" s="1" customFormat="1" ht="60.75" customHeight="1" x14ac:dyDescent="0.25">
      <c r="A31" s="25" t="s">
        <v>717</v>
      </c>
      <c r="B31" s="24" t="str">
        <f>VLOOKUP($A31,Questions!$A$2:$X$333,2,0)</f>
        <v>Use this area to share information about your privacy practices that will assist those who are assessing your company data privacy program.*</v>
      </c>
      <c r="C31" s="83"/>
      <c r="D31" s="340" t="s">
        <v>1789</v>
      </c>
      <c r="E31" s="28" t="str">
        <f>IF($C31="Yes",VLOOKUP($A31,Questions!$A$2:$X$333,17,0)&amp;"",IF($C31="No",VLOOKUP($A31,Questions!$A$2:$X$333,16,0)&amp;"",VLOOKUP($A31,Questions!$A$2:$X$333,15,0)&amp;""))</f>
        <v>Share any details that would help data privacy analysts assess your solution.</v>
      </c>
      <c r="F31" s="211" t="str">
        <f>VLOOKUP($A31,'Privacy Analyst Evaluation'!$A$46:$F$120,6,0)&amp;""</f>
        <v/>
      </c>
      <c r="H31" s="42"/>
    </row>
    <row r="32" spans="1:8" s="1" customFormat="1" ht="42.75" customHeight="1" x14ac:dyDescent="0.25">
      <c r="A32" s="25" t="s">
        <v>719</v>
      </c>
      <c r="B32" s="24" t="str">
        <f>VLOOKUP($A32,Questions!$A$2:$X$333,2,0)</f>
        <v>Have you had any data privacy policy or law violations in the past 36 months?</v>
      </c>
      <c r="C32" s="27" t="s">
        <v>149</v>
      </c>
      <c r="D32" s="346"/>
      <c r="E32" s="28" t="str">
        <f>IF($C32="Yes",VLOOKUP($A32,Questions!$A$2:$X$333,17,0)&amp;"",IF($C32="No",VLOOKUP($A32,Questions!$A$2:$X$333,16,0)&amp;"",VLOOKUP($A32,Questions!$A$2:$X$333,15,0)&amp;""))</f>
        <v/>
      </c>
      <c r="F32" s="211" t="str">
        <f>VLOOKUP($A32,'Privacy Analyst Evaluation'!$A$46:$F$120,6,0)&amp;""</f>
        <v/>
      </c>
      <c r="H32" s="42"/>
    </row>
    <row r="33" spans="1:8" s="1" customFormat="1" ht="27.5" thickBot="1" x14ac:dyDescent="0.3">
      <c r="A33" s="25" t="s">
        <v>722</v>
      </c>
      <c r="B33" s="24" t="str">
        <f>VLOOKUP($A33,Questions!$A$2:$X$333,2,0)</f>
        <v>Do you have a dedicated data privacy staff or office?</v>
      </c>
      <c r="C33" s="27" t="s">
        <v>149</v>
      </c>
      <c r="D33" s="346" t="s">
        <v>1790</v>
      </c>
      <c r="E33" s="28" t="str">
        <f>IF($C33="Yes",VLOOKUP($A33,Questions!$A$2:$X$333,17,0)&amp;"",IF($C33="No",VLOOKUP($A33,Questions!$A$2:$X$333,16,0)&amp;"",VLOOKUP($A33,Questions!$A$2:$X$333,15,0)&amp;""))</f>
        <v/>
      </c>
      <c r="F33" s="211" t="str">
        <f>VLOOKUP($A33,'Privacy Analyst Evaluation'!$A$46:$F$120,6,0)&amp;""</f>
        <v/>
      </c>
      <c r="G33" s="255" t="s">
        <v>1531</v>
      </c>
      <c r="H33" s="42"/>
    </row>
    <row r="34" spans="1:8" s="1" customFormat="1" ht="37.4" customHeight="1" thickBot="1" x14ac:dyDescent="0.3">
      <c r="A34" s="70" t="str">
        <f>VLOOKUP(LEFT($A35,4),'Auto Responses'!$N$4:$O$38,2,0)&amp;""</f>
        <v xml:space="preserve"> Privacy-Specific Documentation</v>
      </c>
      <c r="B34" s="29"/>
      <c r="C34" s="19" t="s">
        <v>1583</v>
      </c>
      <c r="D34" s="19" t="s">
        <v>72</v>
      </c>
      <c r="E34" s="38" t="s">
        <v>904</v>
      </c>
      <c r="F34" s="209" t="s">
        <v>905</v>
      </c>
      <c r="H34" s="42"/>
    </row>
    <row r="35" spans="1:8" s="1" customFormat="1" ht="99.75" customHeight="1" x14ac:dyDescent="0.25">
      <c r="A35" s="25" t="s">
        <v>723</v>
      </c>
      <c r="B35" s="24" t="str">
        <f>VLOOKUP($A35,Questions!$A$2:$X$333,2,0)</f>
        <v>If you have completed a SOC 2 audit, does it include the Privacy Trust Service Principle?</v>
      </c>
      <c r="C35" s="27" t="s">
        <v>149</v>
      </c>
      <c r="D35" s="346" t="s">
        <v>1791</v>
      </c>
      <c r="E35" s="28" t="str">
        <f>IF($C35="Yes",VLOOKUP($A35,Questions!$A$2:$X$333,17,0)&amp;"",IF($C35="No",VLOOKUP($A35,Questions!$A$2:$X$333,16,0)&amp;"",IF($C35="N/A",VLOOKUP($A35,Questions!$A$2:$X$333,18,0)&amp;"",VLOOKUP($A35,Questions!$A$2:$X$333,15,0)&amp;"")))</f>
        <v/>
      </c>
      <c r="F35" s="211" t="str">
        <f>VLOOKUP($A35,'Privacy Analyst Evaluation'!$A$46:$F$120,6,0)&amp;""</f>
        <v/>
      </c>
      <c r="H35" s="42"/>
    </row>
    <row r="36" spans="1:8" s="1" customFormat="1" ht="36.75" customHeight="1" x14ac:dyDescent="0.25">
      <c r="A36" s="25" t="s">
        <v>724</v>
      </c>
      <c r="B36" s="24" t="str">
        <f>VLOOKUP($A36,Questions!$A$2:$X$333,2,0)</f>
        <v>Do you conform with a specific industry-standard privacy framework (e.g., NIST Privacy Framework, GDPR, ISO 27701)?</v>
      </c>
      <c r="C36" s="27" t="s">
        <v>149</v>
      </c>
      <c r="D36" s="346" t="s">
        <v>1792</v>
      </c>
      <c r="E36" s="28" t="str">
        <f>IF($C36="Yes",VLOOKUP($A36,Questions!$A$2:$X$333,17,0)&amp;"",IF($C36="No",VLOOKUP($A36,Questions!$A$2:$X$333,16,0)&amp;"",VLOOKUP($A36,Questions!$A$2:$X$333,15,0)&amp;""))</f>
        <v>Provide any plans to conform.</v>
      </c>
      <c r="F36" s="211" t="str">
        <f>VLOOKUP($A36,'Privacy Analyst Evaluation'!$A$46:$F$120,6,0)&amp;""</f>
        <v/>
      </c>
      <c r="H36" s="42"/>
    </row>
    <row r="37" spans="1:8" s="1" customFormat="1" ht="40.5" customHeight="1" thickBot="1" x14ac:dyDescent="0.3">
      <c r="A37" s="25" t="s">
        <v>726</v>
      </c>
      <c r="B37" s="24" t="str">
        <f>VLOOKUP($A37,Questions!$A$2:$X$333,2,0)</f>
        <v>Does your employee onboarding and offboarding policy include training of employees on information security and data privacy?</v>
      </c>
      <c r="C37" s="27" t="s">
        <v>40</v>
      </c>
      <c r="D37" s="346" t="s">
        <v>1793</v>
      </c>
      <c r="E37" s="28" t="str">
        <f>IF($C37="Yes",VLOOKUP($A37,Questions!$A$2:$X$333,17,0)&amp;"",IF($C37="No",VLOOKUP($A37,Questions!$A$2:$X$333,16,0)&amp;"",VLOOKUP($A37,Questions!$A$2:$X$333,15,0)&amp;""))</f>
        <v/>
      </c>
      <c r="F37" s="211" t="str">
        <f>VLOOKUP($A37,'Privacy Analyst Evaluation'!$A$46:$F$120,6,0)&amp;""</f>
        <v/>
      </c>
      <c r="G37" s="255" t="s">
        <v>1531</v>
      </c>
      <c r="H37" s="42"/>
    </row>
    <row r="38" spans="1:8" s="1" customFormat="1" ht="37.4" customHeight="1" thickBot="1" x14ac:dyDescent="0.3">
      <c r="A38" s="70" t="str">
        <f>VLOOKUP(LEFT($A39,4),'Auto Responses'!$N$4:$O$38,2,0)&amp;""</f>
        <v xml:space="preserve"> Privacy of Third Parties</v>
      </c>
      <c r="B38" s="29"/>
      <c r="C38" s="19" t="s">
        <v>1583</v>
      </c>
      <c r="D38" s="19" t="s">
        <v>72</v>
      </c>
      <c r="E38" s="38" t="s">
        <v>904</v>
      </c>
      <c r="F38" s="209" t="s">
        <v>905</v>
      </c>
      <c r="H38" s="42"/>
    </row>
    <row r="39" spans="1:8" s="1" customFormat="1" ht="40.5" x14ac:dyDescent="0.25">
      <c r="A39" s="25" t="s">
        <v>728</v>
      </c>
      <c r="B39" s="24" t="str">
        <f>VLOOKUP($A39,Questions!$A$2:$X$333,2,0)</f>
        <v>Do you have contractual agreements with third parties that require them to maintain standards and to comply with all regulatory requirements?*</v>
      </c>
      <c r="C39" s="27" t="s">
        <v>40</v>
      </c>
      <c r="D39" s="346" t="s">
        <v>1794</v>
      </c>
      <c r="E39" s="28" t="str">
        <f>IF($C39="Yes",VLOOKUP($A39,Questions!$A$2:$X$333,17,0)&amp;"",IF($C39="No",VLOOKUP($A39,Questions!$A$2:$X$333,16,0)&amp;"",VLOOKUP($A39,Questions!$A$2:$X$333,15,0)&amp;""))</f>
        <v/>
      </c>
      <c r="F39" s="211" t="str">
        <f>VLOOKUP($A39,'Privacy Analyst Evaluation'!$A$46:$F$120,6,0)&amp;""</f>
        <v/>
      </c>
      <c r="H39" s="42"/>
    </row>
    <row r="40" spans="1:8" s="1" customFormat="1" ht="60.75" customHeight="1" thickBot="1" x14ac:dyDescent="0.3">
      <c r="A40" s="25" t="s">
        <v>732</v>
      </c>
      <c r="B40" s="24" t="str">
        <f>VLOOKUP($A40,Questions!$A$2:$X$333,2,0)</f>
        <v xml:space="preserve">Do you perform privacy impact assesments of third parties that collect, process, or have access to personal data to ensure they meet industry and regulatory standards and to mitigate harmful, unethical, or discriminatory impacts on data subjects? </v>
      </c>
      <c r="C40" s="27" t="s">
        <v>40</v>
      </c>
      <c r="D40" s="346" t="s">
        <v>1795</v>
      </c>
      <c r="E40" s="28" t="str">
        <f>IF($C40="Yes",VLOOKUP($A40,Questions!$A$2:$X$333,17,0)&amp;"",IF($C40="No",VLOOKUP($A40,Questions!$A$2:$X$333,16,0)&amp;"",VLOOKUP($A40,Questions!$A$2:$X$333,15,0)&amp;""))</f>
        <v>Provide a summary of your practices that assures that the third party will be subject to the appropriate standards regarding data privacy.</v>
      </c>
      <c r="F40" s="211" t="str">
        <f>VLOOKUP($A40,'Privacy Analyst Evaluation'!$A$46:$F$120,6,0)&amp;""</f>
        <v/>
      </c>
      <c r="G40" s="255" t="s">
        <v>1531</v>
      </c>
      <c r="H40" s="42"/>
    </row>
    <row r="41" spans="1:8" s="1" customFormat="1" ht="37.4" customHeight="1" thickBot="1" x14ac:dyDescent="0.3">
      <c r="A41" s="70" t="str">
        <f>VLOOKUP(LEFT($A42,4),'Auto Responses'!$N$4:$O$38,2,0)&amp;""</f>
        <v xml:space="preserve"> Privacy Change Management</v>
      </c>
      <c r="B41" s="29"/>
      <c r="C41" s="19" t="s">
        <v>1583</v>
      </c>
      <c r="D41" s="19" t="s">
        <v>72</v>
      </c>
      <c r="E41" s="38" t="s">
        <v>904</v>
      </c>
      <c r="F41" s="209" t="s">
        <v>905</v>
      </c>
      <c r="H41" s="42"/>
    </row>
    <row r="42" spans="1:8" s="1" customFormat="1" ht="42.75" customHeight="1" x14ac:dyDescent="0.25">
      <c r="A42" s="25" t="s">
        <v>733</v>
      </c>
      <c r="B42" s="24" t="str">
        <f>VLOOKUP($A42,Questions!$A$2:$X$333,2,0)</f>
        <v>Does your change management process include privacy review and approval?</v>
      </c>
      <c r="C42" s="27" t="s">
        <v>40</v>
      </c>
      <c r="D42" s="346" t="s">
        <v>1796</v>
      </c>
      <c r="E42" s="28" t="str">
        <f>IF($C42="Yes",VLOOKUP($A42,Questions!$A$2:$X$333,17,0)&amp;"",IF($C42="No",VLOOKUP($A42,Questions!$A$2:$X$333,16,0)&amp;"",VLOOKUP($A42,Questions!$A$2:$X$333,15,0)&amp;""))</f>
        <v xml:space="preserve">Please describe your process for privacy review. </v>
      </c>
      <c r="F42" s="211" t="str">
        <f>VLOOKUP($A42,'Privacy Analyst Evaluation'!$A$46:$F$120,6,0)&amp;""</f>
        <v/>
      </c>
      <c r="H42" s="42"/>
    </row>
    <row r="43" spans="1:8" s="1" customFormat="1" ht="46.5" customHeight="1" thickBot="1" x14ac:dyDescent="0.3">
      <c r="A43" s="25" t="s">
        <v>736</v>
      </c>
      <c r="B43" s="24" t="str">
        <f>VLOOKUP($A43,Questions!$A$2:$X$333,2,0)</f>
        <v>Do you have policy and procedure, currently implemented, guiding how privacy risks are mitigated until they can be resolved?</v>
      </c>
      <c r="C43" s="27" t="s">
        <v>40</v>
      </c>
      <c r="D43" s="346" t="s">
        <v>1797</v>
      </c>
      <c r="E43" s="28" t="str">
        <f>IF($C43="Yes",VLOOKUP($A43,Questions!$A$2:$X$333,17,0)&amp;"",IF($C43="No",VLOOKUP($A43,Questions!$A$2:$X$333,16,0)&amp;"",VLOOKUP($A43,Questions!$A$2:$X$333,15,0)&amp;""))</f>
        <v/>
      </c>
      <c r="F43" s="211" t="str">
        <f>VLOOKUP($A43,'Privacy Analyst Evaluation'!$A$46:$F$120,6,0)&amp;""</f>
        <v/>
      </c>
      <c r="G43" s="255" t="s">
        <v>1531</v>
      </c>
      <c r="H43" s="42"/>
    </row>
    <row r="44" spans="1:8" s="1" customFormat="1" ht="37.4" customHeight="1" thickBot="1" x14ac:dyDescent="0.3">
      <c r="A44" s="70" t="str">
        <f>VLOOKUP(LEFT($A45,4),'Auto Responses'!$N$4:$O$38,2,0)&amp;""</f>
        <v xml:space="preserve"> Privacy of Sensitive Data</v>
      </c>
      <c r="B44" s="29"/>
      <c r="C44" s="19" t="s">
        <v>1583</v>
      </c>
      <c r="D44" s="19" t="s">
        <v>72</v>
      </c>
      <c r="E44" s="38" t="s">
        <v>904</v>
      </c>
      <c r="F44" s="209" t="s">
        <v>905</v>
      </c>
      <c r="H44" s="42"/>
    </row>
    <row r="45" spans="1:8" s="1" customFormat="1" ht="42.75" customHeight="1" x14ac:dyDescent="0.25">
      <c r="A45" s="25" t="s">
        <v>738</v>
      </c>
      <c r="B45" s="24" t="str">
        <f>VLOOKUP($A45,Questions!$A$2:$X$333,2,0)</f>
        <v>Do you collect, process, or store demographic information?*</v>
      </c>
      <c r="C45" s="27" t="s">
        <v>149</v>
      </c>
      <c r="D45" s="346" t="s">
        <v>1798</v>
      </c>
      <c r="E45" s="28" t="str">
        <f>IF($C45="Yes",VLOOKUP($A45,Questions!$A$2:$X$333,17,0)&amp;"",IF($C45="No",VLOOKUP($A45,Questions!$A$2:$X$333,16,0)&amp;"",VLOOKUP($A45,Questions!$A$2:$X$333,15,0)&amp;""))</f>
        <v/>
      </c>
      <c r="F45" s="211" t="str">
        <f>VLOOKUP($A45,'Privacy Analyst Evaluation'!$A$46:$F$120,6,0)&amp;""</f>
        <v/>
      </c>
      <c r="H45" s="42"/>
    </row>
    <row r="46" spans="1:8" s="1" customFormat="1" ht="94.5" x14ac:dyDescent="0.25">
      <c r="A46" s="25" t="s">
        <v>740</v>
      </c>
      <c r="B46" s="24" t="str">
        <f>VLOOKUP($A46,Questions!$A$2:$X$333,2,0)</f>
        <v>Do you capture or create genetic, biometric, or behaviometric information (e.g.,  facial recognition or fingerprints)?*</v>
      </c>
      <c r="C46" s="27" t="s">
        <v>149</v>
      </c>
      <c r="D46" s="346" t="s">
        <v>1799</v>
      </c>
      <c r="E46" s="28" t="str">
        <f>IF($C46="Yes",VLOOKUP($A46,Questions!$A$2:$X$333,17,0)&amp;"",IF($C46="No",VLOOKUP($A46,Questions!$A$2:$X$333,16,0)&amp;"",VLOOKUP($A46,Questions!$A$2:$X$333,15,0)&amp;""))</f>
        <v/>
      </c>
      <c r="F46" s="211" t="str">
        <f>VLOOKUP($A46,'Privacy Analyst Evaluation'!$A$46:$F$120,6,0)&amp;""</f>
        <v/>
      </c>
      <c r="H46" s="42"/>
    </row>
    <row r="47" spans="1:8" s="1" customFormat="1" ht="60" customHeight="1" x14ac:dyDescent="0.25">
      <c r="A47" s="25" t="s">
        <v>743</v>
      </c>
      <c r="B47" s="24" t="str">
        <f>VLOOKUP($A47,Questions!$A$2:$X$333,2,0)</f>
        <v>Do you combine institutional data (including "de-identified," "anonymized," or otherwise masked data) with personal data from any other sources?*</v>
      </c>
      <c r="C47" s="27" t="s">
        <v>149</v>
      </c>
      <c r="D47" s="346" t="s">
        <v>1800</v>
      </c>
      <c r="E47" s="28" t="str">
        <f>IF($C47="Yes",VLOOKUP($A47,Questions!$A$2:$X$333,17,0)&amp;"",IF($C47="No",VLOOKUP($A47,Questions!$A$2:$X$333,16,0)&amp;"",VLOOKUP($A47,Questions!$A$2:$X$333,15,0)&amp;""))</f>
        <v/>
      </c>
      <c r="F47" s="211" t="str">
        <f>VLOOKUP($A47,'Privacy Analyst Evaluation'!$A$46:$F$120,6,0)&amp;""</f>
        <v/>
      </c>
      <c r="H47" s="42"/>
    </row>
    <row r="48" spans="1:8" s="1" customFormat="1" ht="36" customHeight="1" x14ac:dyDescent="0.25">
      <c r="A48" s="25" t="s">
        <v>745</v>
      </c>
      <c r="B48" s="24" t="str">
        <f>VLOOKUP($A48,Questions!$A$2:$X$333,2,0)</f>
        <v>Is institutional data coming into or going out of the United States at any point during collection, processing, storage, or archiving?</v>
      </c>
      <c r="C48" s="27" t="s">
        <v>40</v>
      </c>
      <c r="D48" s="346" t="s">
        <v>1801</v>
      </c>
      <c r="E48" s="28" t="str">
        <f>IF($C48="Yes",VLOOKUP($A48,Questions!$A$2:$X$333,17,0)&amp;"",IF($C48="No",VLOOKUP($A48,Questions!$A$2:$X$333,16,0)&amp;"",VLOOKUP($A48,Questions!$A$2:$X$333,15,0)&amp;""))</f>
        <v>Describe where and whether you comply with the laws of that jurisdiction.</v>
      </c>
      <c r="F48" s="211" t="str">
        <f>VLOOKUP($A48,'Privacy Analyst Evaluation'!$A$46:$F$120,6,0)&amp;""</f>
        <v/>
      </c>
      <c r="H48" s="42"/>
    </row>
    <row r="49" spans="1:8" s="1" customFormat="1" ht="32.25" customHeight="1" x14ac:dyDescent="0.25">
      <c r="A49" s="25" t="s">
        <v>747</v>
      </c>
      <c r="B49" s="24" t="str">
        <f>VLOOKUP($A49,Questions!$A$2:$X$333,2,0)</f>
        <v>Do you capture device information (e.g., IP address, MAC address)?</v>
      </c>
      <c r="C49" s="27" t="s">
        <v>40</v>
      </c>
      <c r="D49" s="346" t="s">
        <v>1802</v>
      </c>
      <c r="E49" s="28" t="str">
        <f>IF($C49="Yes",VLOOKUP($A49,Questions!$A$2:$X$333,17,0)&amp;"",IF($C49="No",VLOOKUP($A49,Questions!$A$2:$X$333,16,0)&amp;"",VLOOKUP($A49,Questions!$A$2:$X$333,15,0)&amp;""))</f>
        <v/>
      </c>
      <c r="F49" s="211" t="str">
        <f>VLOOKUP($A49,'Privacy Analyst Evaluation'!$A$46:$F$120,6,0)&amp;""</f>
        <v/>
      </c>
      <c r="H49" s="42"/>
    </row>
    <row r="50" spans="1:8" s="1" customFormat="1" ht="49.5" customHeight="1" x14ac:dyDescent="0.25">
      <c r="A50" s="25" t="s">
        <v>748</v>
      </c>
      <c r="B50" s="24" t="str">
        <f>VLOOKUP($A50,Questions!$A$2:$X$333,2,0)</f>
        <v>Does any part of this service/project involve a web/app tracking component (e.g., use of web-tracking pixels, cookies)?</v>
      </c>
      <c r="C50" s="27" t="s">
        <v>40</v>
      </c>
      <c r="D50" s="346" t="s">
        <v>1803</v>
      </c>
      <c r="E50" s="28" t="str">
        <f>IF($C50="Yes",VLOOKUP($A50,Questions!$A$2:$X$333,17,0)&amp;"",IF($C50="No",VLOOKUP($A50,Questions!$A$2:$X$333,16,0)&amp;"",VLOOKUP($A50,Questions!$A$2:$X$333,15,0)&amp;""))</f>
        <v>Describe the tracking component and what is done with the information.</v>
      </c>
      <c r="F50" s="211" t="str">
        <f>VLOOKUP($A50,'Privacy Analyst Evaluation'!$A$46:$F$120,6,0)&amp;""</f>
        <v/>
      </c>
      <c r="H50" s="42"/>
    </row>
    <row r="51" spans="1:8" s="1" customFormat="1" ht="44.25" customHeight="1" x14ac:dyDescent="0.25">
      <c r="A51" s="25" t="s">
        <v>749</v>
      </c>
      <c r="B51" s="24" t="str">
        <f>VLOOKUP($A51,Questions!$A$2:$X$333,2,0)</f>
        <v>Does your staff (or a third party) have access to institutional data (e.g., financial, PHI, or other sensitive information) through any means?</v>
      </c>
      <c r="C51" s="27" t="s">
        <v>40</v>
      </c>
      <c r="D51" s="346" t="s">
        <v>1804</v>
      </c>
      <c r="E51" s="28" t="str">
        <f>IF($C51="Yes",VLOOKUP($A51,Questions!$A$2:$X$333,17,0)&amp;"",IF($C51="No",VLOOKUP($A51,Questions!$A$2:$X$333,16,0)&amp;"",VLOOKUP($A51,Questions!$A$2:$X$333,15,0)&amp;""))</f>
        <v>Summarize the access that staff (or third parties) have to institutional data.</v>
      </c>
      <c r="F51" s="211" t="str">
        <f>VLOOKUP($A51,'Privacy Analyst Evaluation'!$A$46:$F$120,6,0)&amp;""</f>
        <v/>
      </c>
      <c r="H51" s="42"/>
    </row>
    <row r="52" spans="1:8" s="1" customFormat="1" ht="52.5" customHeight="1" thickBot="1" x14ac:dyDescent="0.3">
      <c r="A52" s="25" t="s">
        <v>751</v>
      </c>
      <c r="B52" s="24" t="str">
        <f>VLOOKUP($A52,Questions!$A$2:$X$333,2,0)</f>
        <v>Will you handle personal data in a manner compliant with all relevant laws, regulations, and applicable institution policies?</v>
      </c>
      <c r="C52" s="27" t="s">
        <v>40</v>
      </c>
      <c r="D52" s="348" t="s">
        <v>1805</v>
      </c>
      <c r="E52" s="28" t="str">
        <f>IF($C52="Yes",VLOOKUP($A52,Questions!$A$2:$X$333,17,0)&amp;"",IF($C52="No",VLOOKUP($A52,Questions!$A$2:$X$333,16,0)&amp;"",VLOOKUP($A52,Questions!$A$2:$X$333,15,0)&amp;""))</f>
        <v/>
      </c>
      <c r="F52" s="211" t="str">
        <f>VLOOKUP($A52,'Privacy Analyst Evaluation'!$A$46:$F$120,6,0)&amp;""</f>
        <v/>
      </c>
      <c r="G52" s="255" t="s">
        <v>1531</v>
      </c>
      <c r="H52" s="42"/>
    </row>
    <row r="53" spans="1:8" s="1" customFormat="1" ht="37.4" customHeight="1" thickBot="1" x14ac:dyDescent="0.3">
      <c r="A53" s="70" t="str">
        <f>VLOOKUP(LEFT($A54,4),'Auto Responses'!$N$4:$O$38,2,0)&amp;""</f>
        <v xml:space="preserve"> Privacy Policies and Procedures</v>
      </c>
      <c r="B53" s="29"/>
      <c r="C53" s="19" t="s">
        <v>1583</v>
      </c>
      <c r="D53" s="19" t="s">
        <v>72</v>
      </c>
      <c r="E53" s="38" t="s">
        <v>904</v>
      </c>
      <c r="F53" s="209" t="s">
        <v>905</v>
      </c>
      <c r="H53" s="42"/>
    </row>
    <row r="54" spans="1:8" s="1" customFormat="1" ht="26.25" customHeight="1" x14ac:dyDescent="0.25">
      <c r="A54" s="25" t="s">
        <v>752</v>
      </c>
      <c r="B54" s="24" t="str">
        <f>VLOOKUP($A54,Questions!$A$2:$X$333,2,0)</f>
        <v>Do you have a documented privacy management process?</v>
      </c>
      <c r="C54" s="27" t="s">
        <v>40</v>
      </c>
      <c r="D54" s="346" t="s">
        <v>1806</v>
      </c>
      <c r="E54" s="28" t="str">
        <f>IF($C54="Yes",VLOOKUP($A54,Questions!$A$2:$X$333,17,0)&amp;"",IF($C54="No",VLOOKUP($A54,Questions!$A$2:$X$333,16,0)&amp;"",VLOOKUP($A54,Questions!$A$2:$X$333,15,0)&amp;""))</f>
        <v>Describe privacy management process or provide links or attach documentation.</v>
      </c>
      <c r="F54" s="211" t="str">
        <f>VLOOKUP($A54,'Privacy Analyst Evaluation'!$A$46:$F$120,6,0)&amp;""</f>
        <v/>
      </c>
      <c r="H54" s="42"/>
    </row>
    <row r="55" spans="1:8" s="1" customFormat="1" ht="40.5" customHeight="1" x14ac:dyDescent="0.25">
      <c r="A55" s="25" t="s">
        <v>756</v>
      </c>
      <c r="B55" s="24" t="str">
        <f>VLOOKUP($A55,Questions!$A$2:$X$333,2,0)</f>
        <v>Are privacy principles designed into the product lifecycle (i.e., privacy-by-design)?</v>
      </c>
      <c r="C55" s="27" t="s">
        <v>40</v>
      </c>
      <c r="D55" s="346" t="s">
        <v>1796</v>
      </c>
      <c r="E55" s="28" t="str">
        <f>IF($C55="Yes",VLOOKUP($A55,Questions!$A$2:$X$333,17,0)&amp;"",IF($C55="No",VLOOKUP($A55,Questions!$A$2:$X$333,16,0)&amp;"",VLOOKUP($A55,Questions!$A$2:$X$333,15,0)&amp;""))</f>
        <v>Summarize the privacy principles designed into the product lifecycle.</v>
      </c>
      <c r="F55" s="211" t="str">
        <f>VLOOKUP($A55,'Privacy Analyst Evaluation'!$A$46:$F$120,6,0)&amp;""</f>
        <v/>
      </c>
      <c r="H55" s="42"/>
    </row>
    <row r="56" spans="1:8" s="1" customFormat="1" ht="33" customHeight="1" x14ac:dyDescent="0.25">
      <c r="A56" s="25" t="s">
        <v>759</v>
      </c>
      <c r="B56" s="24" t="str">
        <f>VLOOKUP($A56,Questions!$A$2:$X$333,2,0)</f>
        <v>Will you comply with applicable breach notification laws?</v>
      </c>
      <c r="C56" s="27" t="s">
        <v>40</v>
      </c>
      <c r="D56" s="346" t="s">
        <v>1807</v>
      </c>
      <c r="E56" s="28" t="str">
        <f>IF($C56="Yes",VLOOKUP($A56,Questions!$A$2:$X$333,17,0)&amp;"",IF($C56="No",VLOOKUP($A56,Questions!$A$2:$X$333,16,0)&amp;"",VLOOKUP($A56,Questions!$A$2:$X$333,15,0)&amp;""))</f>
        <v>State how quickly the institution will be notified.</v>
      </c>
      <c r="F56" s="211" t="str">
        <f>VLOOKUP($A56,'Privacy Analyst Evaluation'!$A$46:$F$120,6,0)&amp;""</f>
        <v/>
      </c>
      <c r="H56" s="42"/>
    </row>
    <row r="57" spans="1:8" s="1" customFormat="1" ht="39.75" customHeight="1" x14ac:dyDescent="0.25">
      <c r="A57" s="25" t="s">
        <v>762</v>
      </c>
      <c r="B57" s="24" t="str">
        <f>VLOOKUP($A57,Questions!$A$2:$X$333,2,0)</f>
        <v>Will you comply with the institution's policies regarding user privacy and data protection?</v>
      </c>
      <c r="C57" s="27" t="s">
        <v>40</v>
      </c>
      <c r="D57" s="346" t="s">
        <v>1807</v>
      </c>
      <c r="E57" s="28" t="str">
        <f>IF($C57="Yes",VLOOKUP($A57,Questions!$A$2:$X$333,17,0)&amp;"",IF($C57="No",VLOOKUP($A57,Questions!$A$2:$X$333,16,0)&amp;"",VLOOKUP($A57,Questions!$A$2:$X$333,15,0)&amp;""))</f>
        <v/>
      </c>
      <c r="F57" s="211" t="str">
        <f>VLOOKUP($A57,'Privacy Analyst Evaluation'!$A$46:$F$120,6,0)&amp;""</f>
        <v/>
      </c>
      <c r="H57" s="42"/>
    </row>
    <row r="58" spans="1:8" s="1" customFormat="1" ht="38.25" customHeight="1" x14ac:dyDescent="0.25">
      <c r="A58" s="25" t="s">
        <v>764</v>
      </c>
      <c r="B58" s="24" t="str">
        <f>VLOOKUP($A58,Questions!$A$2:$X$333,2,0)</f>
        <v>Is your company subject to the laws and regulations of the institution's geographic region?</v>
      </c>
      <c r="C58" s="27" t="s">
        <v>40</v>
      </c>
      <c r="D58" s="346" t="s">
        <v>1808</v>
      </c>
      <c r="E58" s="28" t="str">
        <f>IF($C58="Yes",VLOOKUP($A58,Questions!$A$2:$X$333,17,0)&amp;"",IF($C58="No",VLOOKUP($A58,Questions!$A$2:$X$333,16,0)&amp;"",VLOOKUP($A58,Questions!$A$2:$X$333,15,0)&amp;""))</f>
        <v/>
      </c>
      <c r="F58" s="211" t="str">
        <f>VLOOKUP($A58,'Privacy Analyst Evaluation'!$A$46:$F$120,6,0)&amp;""</f>
        <v/>
      </c>
      <c r="H58" s="42"/>
    </row>
    <row r="59" spans="1:8" s="1" customFormat="1" ht="29.25" customHeight="1" x14ac:dyDescent="0.25">
      <c r="A59" s="25" t="s">
        <v>766</v>
      </c>
      <c r="B59" s="24" t="str">
        <f>VLOOKUP($A59,Questions!$A$2:$X$333,2,0)</f>
        <v>Do you have a privacy awareness/training program?*</v>
      </c>
      <c r="C59" s="27" t="s">
        <v>40</v>
      </c>
      <c r="D59" s="346" t="s">
        <v>1809</v>
      </c>
      <c r="E59" s="28" t="str">
        <f>IF($C59="Yes",VLOOKUP($A59,Questions!$A$2:$X$333,17,0)&amp;"",IF($C59="No",VLOOKUP($A59,Questions!$A$2:$X$333,16,0)&amp;"",VLOOKUP($A59,Questions!$A$2:$X$333,15,0)&amp;""))</f>
        <v/>
      </c>
      <c r="F59" s="211" t="str">
        <f>VLOOKUP($A59,'Privacy Analyst Evaluation'!$A$46:$F$120,6,0)&amp;""</f>
        <v/>
      </c>
      <c r="H59" s="42"/>
    </row>
    <row r="60" spans="1:8" s="1" customFormat="1" ht="29.25" customHeight="1" x14ac:dyDescent="0.25">
      <c r="A60" s="25" t="s">
        <v>768</v>
      </c>
      <c r="B60" s="24" t="str">
        <f>VLOOKUP($A60,Questions!$A$2:$X$333,2,0)</f>
        <v>Is privacy awareness training mandatory for all employees?</v>
      </c>
      <c r="C60" s="27" t="s">
        <v>40</v>
      </c>
      <c r="D60" s="346" t="s">
        <v>1810</v>
      </c>
      <c r="E60" s="28" t="str">
        <f>IF($C60="Yes",VLOOKUP($A60,Questions!$A$2:$X$333,17,0)&amp;"",IF($C60="No",VLOOKUP($A60,Questions!$A$2:$X$333,16,0)&amp;"",VLOOKUP($A60,Questions!$A$2:$X$333,15,0)&amp;""))</f>
        <v>Summarize your privacy awareness training content and state how frequently employees are required to undergo privacy awareness training</v>
      </c>
      <c r="F60" s="211" t="str">
        <f>VLOOKUP($A60,'Privacy Analyst Evaluation'!$A$46:$F$120,6,0)&amp;""</f>
        <v/>
      </c>
      <c r="H60" s="42"/>
    </row>
    <row r="61" spans="1:8" s="1" customFormat="1" ht="39.75" customHeight="1" x14ac:dyDescent="0.25">
      <c r="A61" s="25" t="s">
        <v>772</v>
      </c>
      <c r="B61" s="24" t="str">
        <f>VLOOKUP($A61,Questions!$A$2:$X$333,2,0)</f>
        <v>Is AI privacy and ethics awareness/training required for all employees who work with AI?</v>
      </c>
      <c r="C61" s="27" t="s">
        <v>149</v>
      </c>
      <c r="D61" s="346" t="s">
        <v>1811</v>
      </c>
      <c r="E61" s="28" t="str">
        <f>IF($C61="Yes",VLOOKUP($A61,Questions!$A$2:$X$333,17,0)&amp;"",IF($C61="No",VLOOKUP($A61,Questions!$A$2:$X$333,16,0)&amp;"",IF($C61="N/A",VLOOKUP($A61,Questions!$A$2:$X$333,18,0)&amp;"",VLOOKUP($A61,Questions!$A$2:$X$333,15,0)&amp;"")))</f>
        <v>Describe plans to include AI training.</v>
      </c>
      <c r="F61" s="211" t="str">
        <f>VLOOKUP($A61,'Privacy Analyst Evaluation'!$A$46:$F$120,6,0)&amp;""</f>
        <v/>
      </c>
      <c r="H61" s="42"/>
    </row>
    <row r="62" spans="1:8" s="1" customFormat="1" ht="39.75" customHeight="1" x14ac:dyDescent="0.25">
      <c r="A62" s="25" t="s">
        <v>775</v>
      </c>
      <c r="B62" s="24" t="str">
        <f>VLOOKUP($A62,Questions!$A$2:$X$333,2,0)</f>
        <v>Do you have any decision-making processes that are completely automated (i.e., there is no human involvement)?</v>
      </c>
      <c r="C62" s="27" t="s">
        <v>149</v>
      </c>
      <c r="D62" s="346" t="s">
        <v>1811</v>
      </c>
      <c r="E62" s="28" t="str">
        <f>IF($C62="Yes",VLOOKUP($A62,Questions!$A$2:$X$333,17,0)&amp;"",IF($C62="No",VLOOKUP($A62,Questions!$A$2:$X$333,16,0)&amp;"",VLOOKUP($A62,Questions!$A$2:$X$333,15,0)&amp;""))</f>
        <v/>
      </c>
      <c r="F62" s="211" t="str">
        <f>VLOOKUP($A62,'Privacy Analyst Evaluation'!$A$46:$F$120,6,0)&amp;""</f>
        <v/>
      </c>
      <c r="H62" s="42"/>
    </row>
    <row r="63" spans="1:8" s="1" customFormat="1" ht="54" customHeight="1" x14ac:dyDescent="0.25">
      <c r="A63" s="25" t="s">
        <v>777</v>
      </c>
      <c r="B63" s="24" t="str">
        <f>VLOOKUP($A63,Questions!$A$2:$X$333,2,0)</f>
        <v>Do you have a documented process for managing automated processing, including validations, monitoring, and data subject requests?</v>
      </c>
      <c r="C63" s="27" t="s">
        <v>149</v>
      </c>
      <c r="D63" s="346" t="s">
        <v>1811</v>
      </c>
      <c r="E63" s="28" t="str">
        <f>IF($C63="Yes",VLOOKUP($A63,Questions!$A$2:$X$333,17,0)&amp;"",IF($C63="No",VLOOKUP($A63,Questions!$A$2:$X$333,16,0)&amp;"",VLOOKUP($A63,Questions!$A$2:$X$333,15,0)&amp;""))</f>
        <v/>
      </c>
      <c r="F63" s="211" t="str">
        <f>VLOOKUP($A63,'Privacy Analyst Evaluation'!$A$46:$F$120,6,0)&amp;""</f>
        <v/>
      </c>
      <c r="H63" s="42"/>
    </row>
    <row r="64" spans="1:8" s="1" customFormat="1" ht="40.5" customHeight="1" x14ac:dyDescent="0.25">
      <c r="A64" s="25" t="s">
        <v>780</v>
      </c>
      <c r="B64" s="24" t="str">
        <f>VLOOKUP($A64,Questions!$A$2:$X$333,2,0)</f>
        <v>Do you have a documented policy for sharing information with law enforcement?</v>
      </c>
      <c r="C64" s="27" t="s">
        <v>40</v>
      </c>
      <c r="D64" s="346" t="s">
        <v>1812</v>
      </c>
      <c r="E64" s="28" t="str">
        <f>IF($C64="Yes",VLOOKUP($A64,Questions!$A$2:$X$333,17,0)&amp;"",IF($C64="No",VLOOKUP($A64,Questions!$A$2:$X$333,16,0)&amp;"",VLOOKUP($A64,Questions!$A$2:$X$333,15,0)&amp;""))</f>
        <v/>
      </c>
      <c r="F64" s="211" t="str">
        <f>VLOOKUP($A64,'Privacy Analyst Evaluation'!$A$46:$F$120,6,0)&amp;""</f>
        <v/>
      </c>
      <c r="H64" s="42"/>
    </row>
    <row r="65" spans="1:8" s="1" customFormat="1" ht="39.75" customHeight="1" x14ac:dyDescent="0.25">
      <c r="A65" s="25" t="s">
        <v>783</v>
      </c>
      <c r="B65" s="24" t="str">
        <f>VLOOKUP($A65,Questions!$A$2:$X$333,2,0)</f>
        <v>Do you share any institutional data with law enforcement without a valid warrant?*</v>
      </c>
      <c r="C65" s="27" t="s">
        <v>149</v>
      </c>
      <c r="D65" s="346" t="s">
        <v>1813</v>
      </c>
      <c r="E65" s="28" t="str">
        <f>IF($C65="Yes",VLOOKUP($A65,Questions!$A$2:$X$333,17,0)&amp;"",IF($C65="No",VLOOKUP($A65,Questions!$A$2:$X$333,16,0)&amp;"",VLOOKUP($A65,Questions!$A$2:$X$333,15,0)&amp;""))</f>
        <v/>
      </c>
      <c r="F65" s="211" t="str">
        <f>VLOOKUP($A65,'Privacy Analyst Evaluation'!$A$46:$F$120,6,0)&amp;""</f>
        <v/>
      </c>
      <c r="H65" s="42"/>
    </row>
    <row r="66" spans="1:8" s="1" customFormat="1" ht="26.25" customHeight="1" thickBot="1" x14ac:dyDescent="0.3">
      <c r="A66" s="25" t="s">
        <v>785</v>
      </c>
      <c r="B66" s="24" t="str">
        <f>VLOOKUP($A66,Questions!$A$2:$X$333,2,0)</f>
        <v>Does your incident response team include a privacy analyst/officer?</v>
      </c>
      <c r="C66" s="27" t="s">
        <v>40</v>
      </c>
      <c r="D66" s="346" t="s">
        <v>1814</v>
      </c>
      <c r="E66" s="28" t="str">
        <f>IF($C66="Yes",VLOOKUP($A66,Questions!$A$2:$X$333,17,0)&amp;"",IF($C66="No",VLOOKUP($A66,Questions!$A$2:$X$333,16,0)&amp;"",VLOOKUP($A66,Questions!$A$2:$X$333,15,0)&amp;""))</f>
        <v/>
      </c>
      <c r="F66" s="211" t="str">
        <f>VLOOKUP($A66,'Privacy Analyst Evaluation'!$A$46:$F$120,6,0)&amp;""</f>
        <v/>
      </c>
      <c r="G66" s="255" t="s">
        <v>1531</v>
      </c>
      <c r="H66" s="42"/>
    </row>
    <row r="67" spans="1:8" s="1" customFormat="1" ht="37.4" customHeight="1" thickBot="1" x14ac:dyDescent="0.3">
      <c r="A67" s="70" t="str">
        <f>VLOOKUP(LEFT($A68,4),'Auto Responses'!$N$4:$O$38,2,0)&amp;""</f>
        <v xml:space="preserve"> International Privacy</v>
      </c>
      <c r="B67" s="29"/>
      <c r="C67" s="19" t="s">
        <v>1583</v>
      </c>
      <c r="D67" s="19" t="s">
        <v>72</v>
      </c>
      <c r="E67" s="38" t="s">
        <v>904</v>
      </c>
      <c r="F67" s="209" t="s">
        <v>905</v>
      </c>
      <c r="H67" s="42"/>
    </row>
    <row r="68" spans="1:8" s="1" customFormat="1" ht="42.75" customHeight="1" x14ac:dyDescent="0.25">
      <c r="A68" s="25" t="s">
        <v>787</v>
      </c>
      <c r="B68" s="24" t="str">
        <f>VLOOKUP($A68,Questions!$A$2:$X$333,2,0)</f>
        <v>Will data be collected from or processed in or stored in the European Economic Area (EEA)?</v>
      </c>
      <c r="C68" s="27" t="s">
        <v>40</v>
      </c>
      <c r="D68" s="346" t="s">
        <v>1815</v>
      </c>
      <c r="E68" s="28" t="str">
        <f>IF($C68="Yes",VLOOKUP($A68,Questions!$A$2:$X$333,17,0)&amp;"",IF($C68="No",VLOOKUP($A68,Questions!$A$2:$X$333,16,0)&amp;"",VLOOKUP($A68,Questions!$A$2:$X$333,15,0)&amp;""))</f>
        <v>Describe where and what activities will take place in the EEA.</v>
      </c>
      <c r="F68" s="211" t="str">
        <f>VLOOKUP($A68,'Privacy Analyst Evaluation'!$A$46:$F$120,6,0)&amp;""</f>
        <v/>
      </c>
      <c r="H68" s="42"/>
    </row>
    <row r="69" spans="1:8" s="1" customFormat="1" ht="28.5" customHeight="1" x14ac:dyDescent="0.25">
      <c r="A69" s="25" t="s">
        <v>790</v>
      </c>
      <c r="B69" s="24" t="str">
        <f>VLOOKUP($A69,Questions!$A$2:$X$333,2,0)</f>
        <v>Do you have a data protection officer (DPO)?</v>
      </c>
      <c r="C69" s="27" t="s">
        <v>40</v>
      </c>
      <c r="D69" s="346" t="s">
        <v>1816</v>
      </c>
      <c r="E69" s="28" t="str">
        <f>IF($C69="Yes",VLOOKUP($A69,Questions!$A$2:$X$333,17,0)&amp;"",IF($C69="No",VLOOKUP($A69,Questions!$A$2:$X$333,16,0)&amp;"",VLOOKUP($A69,Questions!$A$2:$X$333,15,0)&amp;""))</f>
        <v>Provide the name and contact information for the DPO.</v>
      </c>
      <c r="F69" s="211" t="str">
        <f>VLOOKUP($A69,'Privacy Analyst Evaluation'!$A$46:$F$120,6,0)&amp;""</f>
        <v/>
      </c>
      <c r="H69" s="42"/>
    </row>
    <row r="70" spans="1:8" s="1" customFormat="1" ht="38.25" customHeight="1" x14ac:dyDescent="0.25">
      <c r="A70" s="25" t="s">
        <v>792</v>
      </c>
      <c r="B70" s="24" t="str">
        <f>VLOOKUP($A70,Questions!$A$2:$X$333,2,0)</f>
        <v>Will you sign appropriate GDPR Standard Contractual Clauses (SCCs) with the institution?</v>
      </c>
      <c r="C70" s="27" t="s">
        <v>40</v>
      </c>
      <c r="D70" s="346" t="s">
        <v>1817</v>
      </c>
      <c r="E70" s="28" t="str">
        <f>IF($C70="Yes",VLOOKUP($A70,Questions!$A$2:$X$333,17,0)&amp;"",IF($C70="No",VLOOKUP($A70,Questions!$A$2:$X$333,16,0)&amp;"",VLOOKUP($A70,Questions!$A$2:$X$333,15,0)&amp;""))</f>
        <v/>
      </c>
      <c r="F70" s="211" t="str">
        <f>VLOOKUP($A70,'Privacy Analyst Evaluation'!$A$46:$F$120,6,0)&amp;""</f>
        <v/>
      </c>
      <c r="H70" s="42"/>
    </row>
    <row r="71" spans="1:8" s="1" customFormat="1" ht="25.5" customHeight="1" x14ac:dyDescent="0.25">
      <c r="A71" s="25" t="s">
        <v>794</v>
      </c>
      <c r="B71" s="24" t="str">
        <f>VLOOKUP($A71,Questions!$A$2:$X$333,2,0)</f>
        <v>Will data be collected from or processed in or stored in China?</v>
      </c>
      <c r="C71" s="27" t="s">
        <v>149</v>
      </c>
      <c r="D71" s="346" t="s">
        <v>1818</v>
      </c>
      <c r="E71" s="28" t="str">
        <f>IF($C71="Yes",VLOOKUP($A71,Questions!$A$2:$X$333,17,0)&amp;"",IF($C71="No",VLOOKUP($A71,Questions!$A$2:$X$333,16,0)&amp;"",VLOOKUP($A71,Questions!$A$2:$X$333,15,0)&amp;""))</f>
        <v/>
      </c>
      <c r="F71" s="211" t="str">
        <f>VLOOKUP($A71,'Privacy Analyst Evaluation'!$A$46:$F$120,6,0)&amp;""</f>
        <v/>
      </c>
      <c r="H71" s="42"/>
    </row>
    <row r="72" spans="1:8" s="1" customFormat="1" ht="43.5" customHeight="1" thickBot="1" x14ac:dyDescent="0.3">
      <c r="A72" s="25" t="s">
        <v>797</v>
      </c>
      <c r="B72" s="24" t="str">
        <f>VLOOKUP($A72,Questions!$A$2:$X$333,2,0)</f>
        <v>Do you comply with PIPL security, privacy, and data localization requirements?</v>
      </c>
      <c r="C72" s="27" t="s">
        <v>149</v>
      </c>
      <c r="D72" s="346" t="s">
        <v>1819</v>
      </c>
      <c r="E72" s="28" t="str">
        <f>IF($C72="Yes",VLOOKUP($A72,Questions!$A$2:$X$333,17,0)&amp;"",IF($C72="No",VLOOKUP($A72,Questions!$A$2:$X$333,16,0)&amp;"",IF($C72="N/A",VLOOKUP($A72,Questions!$A$2:$X$333,18,0)&amp;"",VLOOKUP($A72,Questions!$A$2:$X$333,15,0)&amp;"")))</f>
        <v>Explain why.</v>
      </c>
      <c r="F72" s="211" t="str">
        <f>VLOOKUP($A72,'Privacy Analyst Evaluation'!$A$46:$F$120,6,0)&amp;""</f>
        <v/>
      </c>
      <c r="G72" s="255" t="s">
        <v>1531</v>
      </c>
      <c r="H72" s="42"/>
    </row>
    <row r="73" spans="1:8" s="1" customFormat="1" ht="37.4" customHeight="1" thickBot="1" x14ac:dyDescent="0.3">
      <c r="A73" s="70" t="str">
        <f>VLOOKUP(LEFT($A74,4),'Auto Responses'!$N$4:$O$38,2,0)&amp;""</f>
        <v xml:space="preserve"> Data Privacy</v>
      </c>
      <c r="B73" s="29"/>
      <c r="C73" s="19" t="s">
        <v>1583</v>
      </c>
      <c r="D73" s="19" t="s">
        <v>72</v>
      </c>
      <c r="E73" s="38" t="s">
        <v>904</v>
      </c>
      <c r="F73" s="209" t="s">
        <v>905</v>
      </c>
      <c r="H73" s="42"/>
    </row>
    <row r="74" spans="1:8" s="1" customFormat="1" ht="39.75" customHeight="1" x14ac:dyDescent="0.25">
      <c r="A74" s="25" t="s">
        <v>1094</v>
      </c>
      <c r="B74" s="24" t="str">
        <f>VLOOKUP($A74,Questions!$A$2:$X$333,2,0)</f>
        <v>Have you performed a Data Privacy Impact Assesssment for the solution/project?</v>
      </c>
      <c r="C74" s="27" t="s">
        <v>149</v>
      </c>
      <c r="D74" s="346"/>
      <c r="E74" s="28" t="str">
        <f>IF($C74="Yes",VLOOKUP($A74,Questions!$A$2:$X$333,17,0)&amp;"",IF($C74="No",VLOOKUP($A74,Questions!$A$2:$X$333,16,0)&amp;"",VLOOKUP($A74,Questions!$A$2:$X$333,15,0)&amp;""))</f>
        <v/>
      </c>
      <c r="F74" s="211" t="str">
        <f>VLOOKUP($A74,'Privacy Analyst Evaluation'!$A$46:$F$120,6,0)&amp;""</f>
        <v/>
      </c>
      <c r="H74" s="42"/>
    </row>
    <row r="75" spans="1:8" s="1" customFormat="1" ht="54.75" customHeight="1" x14ac:dyDescent="0.25">
      <c r="A75" s="25" t="s">
        <v>1095</v>
      </c>
      <c r="B75" s="24" t="str">
        <f>VLOOKUP($A75,Questions!$A$2:$X$333,2,0)</f>
        <v>Do you provide an end-user privacy notice about privacy policies and procedures that identify the purpose(s) for which personal information is collected, used, retained, and disclosed?</v>
      </c>
      <c r="C75" s="27" t="s">
        <v>40</v>
      </c>
      <c r="D75" s="346"/>
      <c r="E75" s="28" t="str">
        <f>IF($C75="Yes",VLOOKUP($A75,Questions!$A$2:$X$333,17,0)&amp;"",IF($C75="No",VLOOKUP($A75,Questions!$A$2:$X$333,16,0)&amp;"",VLOOKUP($A75,Questions!$A$2:$X$333,15,0)&amp;""))</f>
        <v/>
      </c>
      <c r="F75" s="211" t="str">
        <f>VLOOKUP($A75,'Privacy Analyst Evaluation'!$A$46:$F$120,6,0)&amp;""</f>
        <v/>
      </c>
      <c r="H75" s="42"/>
    </row>
    <row r="76" spans="1:8" s="1" customFormat="1" ht="54" customHeight="1" x14ac:dyDescent="0.25">
      <c r="A76" s="25" t="s">
        <v>1096</v>
      </c>
      <c r="B76" s="24" t="str">
        <f>VLOOKUP($A76,Questions!$A$2:$X$333,2,0)</f>
        <v>Do you describe the choices available to the individual and obtain implicit or explicit consent with respect to the collection, use, and disclosure of personal information?</v>
      </c>
      <c r="C76" s="27" t="s">
        <v>40</v>
      </c>
      <c r="D76" s="346"/>
      <c r="E76" s="28" t="str">
        <f>IF($C76="Yes",VLOOKUP($A76,Questions!$A$2:$X$333,17,0)&amp;"",IF($C76="No",VLOOKUP($A76,Questions!$A$2:$X$333,16,0)&amp;"",IF($C76="N/A",VLOOKUP($A76,Questions!$A$2:$X$333,18,0)&amp;"",VLOOKUP($A76,Questions!$A$2:$X$333,15,0)&amp;"")))</f>
        <v/>
      </c>
      <c r="F76" s="211" t="str">
        <f>VLOOKUP($A76,'Privacy Analyst Evaluation'!$A$46:$F$120,6,0)&amp;""</f>
        <v/>
      </c>
      <c r="H76" s="42"/>
    </row>
    <row r="77" spans="1:8" s="1" customFormat="1" ht="57" customHeight="1" x14ac:dyDescent="0.25">
      <c r="A77" s="25" t="s">
        <v>1097</v>
      </c>
      <c r="B77" s="24" t="str">
        <f>VLOOKUP($A77,Questions!$A$2:$X$333,2,0)</f>
        <v>Do you collect personal information only for the purpose(s) identified in the agreement with an institution or, if there is none, the purpose(s) identified in the privacy notice?</v>
      </c>
      <c r="C77" s="27" t="s">
        <v>40</v>
      </c>
      <c r="D77" s="346"/>
      <c r="E77" s="28" t="str">
        <f>IF($C77="Yes",VLOOKUP($A77,Questions!$A$2:$X$333,17,0)&amp;"",IF($C77="No",VLOOKUP($A77,Questions!$A$2:$X$333,16,0)&amp;"",IF($C77="N/A",VLOOKUP($A77,Questions!$A$2:$X$333,18,0)&amp;"",VLOOKUP($A77,Questions!$A$2:$X$333,15,0)&amp;"")))</f>
        <v/>
      </c>
      <c r="F77" s="211" t="str">
        <f>VLOOKUP($A77,'Privacy Analyst Evaluation'!$A$46:$F$120,6,0)&amp;""</f>
        <v/>
      </c>
      <c r="H77" s="42"/>
    </row>
    <row r="78" spans="1:8" s="1" customFormat="1" ht="36" customHeight="1" x14ac:dyDescent="0.25">
      <c r="A78" s="25" t="s">
        <v>1098</v>
      </c>
      <c r="B78" s="24" t="str">
        <f>VLOOKUP($A78,Questions!$A$2:$X$333,2,0)</f>
        <v>Do you have a documented list of personal data your service maintains?</v>
      </c>
      <c r="C78" s="27" t="s">
        <v>40</v>
      </c>
      <c r="D78" s="346" t="s">
        <v>1820</v>
      </c>
      <c r="E78" s="28" t="str">
        <f>IF($C78="Yes",VLOOKUP($A78,Questions!$A$2:$X$333,17,0)&amp;"",IF($C78="No",VLOOKUP($A78,Questions!$A$2:$X$333,16,0)&amp;"",IF($C78="N/A",VLOOKUP($A78,Questions!$A$2:$X$333,18,0)&amp;"",VLOOKUP($A78,Questions!$A$2:$X$333,15,0)&amp;"")))</f>
        <v/>
      </c>
      <c r="F78" s="211" t="str">
        <f>VLOOKUP($A78,'Privacy Analyst Evaluation'!$A$46:$F$120,6,0)&amp;""</f>
        <v/>
      </c>
      <c r="H78" s="42"/>
    </row>
    <row r="79" spans="1:8" s="1" customFormat="1" ht="57.75" customHeight="1" x14ac:dyDescent="0.25">
      <c r="A79" s="25" t="s">
        <v>1099</v>
      </c>
      <c r="B79" s="24" t="str">
        <f>VLOOKUP($A79,Questions!$A$2:$X$333,2,0)</f>
        <v>Do you retain personal information for only as long as necessary to fulfill the stated purpose(s) or as required by law or regulation and thereafter appropriately dispose of such information?</v>
      </c>
      <c r="C79" s="27" t="s">
        <v>40</v>
      </c>
      <c r="D79" s="346"/>
      <c r="E79" s="28" t="str">
        <f>IF($C79="Yes",VLOOKUP($A79,Questions!$A$2:$X$333,17,0)&amp;"",IF($C79="No",VLOOKUP($A79,Questions!$A$2:$X$333,16,0)&amp;"",IF($C79="N/A",VLOOKUP($A79,Questions!$A$2:$X$333,18,0)&amp;"",VLOOKUP($A79,Questions!$A$2:$X$333,15,0)&amp;"")))</f>
        <v/>
      </c>
      <c r="F79" s="211" t="str">
        <f>VLOOKUP($A79,'Privacy Analyst Evaluation'!$A$46:$F$120,6,0)&amp;""</f>
        <v/>
      </c>
      <c r="H79" s="42"/>
    </row>
    <row r="80" spans="1:8" s="1" customFormat="1" ht="44.25" customHeight="1" x14ac:dyDescent="0.25">
      <c r="A80" s="25" t="s">
        <v>1100</v>
      </c>
      <c r="B80" s="24" t="str">
        <f>VLOOKUP($A80,Questions!$A$2:$X$333,2,0)</f>
        <v>Do you provide individuals with access to their personal information for review and update (i.e., data subject rights)?</v>
      </c>
      <c r="C80" s="27" t="s">
        <v>40</v>
      </c>
      <c r="D80" s="346" t="s">
        <v>1821</v>
      </c>
      <c r="E80" s="28" t="str">
        <f>IF($C80="Yes",VLOOKUP($A80,Questions!$A$2:$X$333,17,0)&amp;"",IF($C80="No",VLOOKUP($A80,Questions!$A$2:$X$333,16,0)&amp;"",IF($C80="N/A",VLOOKUP($A80,Questions!$A$2:$X$333,18,0)&amp;"",VLOOKUP($A80,Questions!$A$2:$X$333,15,0)&amp;"")))</f>
        <v/>
      </c>
      <c r="F80" s="211" t="str">
        <f>VLOOKUP($A80,'Privacy Analyst Evaluation'!$A$46:$F$120,6,0)&amp;""</f>
        <v/>
      </c>
      <c r="H80" s="42"/>
    </row>
    <row r="81" spans="1:8" s="1" customFormat="1" ht="70.5" customHeight="1" x14ac:dyDescent="0.25">
      <c r="A81" s="25" t="s">
        <v>1101</v>
      </c>
      <c r="B81" s="24" t="str">
        <f>VLOOKUP($A81,Questions!$A$2:$X$333,2,0)</f>
        <v>Do you disclose personal information to third parties only for the purpose(s) identified in the privacy notice or with the implicit or explicit consent of the individual?</v>
      </c>
      <c r="C81" s="27" t="s">
        <v>40</v>
      </c>
      <c r="D81" s="346"/>
      <c r="E81" s="28" t="str">
        <f>IF($C81="Yes",VLOOKUP($A81,Questions!$A$2:$X$333,17,0)&amp;"",IF($C81="No",VLOOKUP($A81,Questions!$A$2:$X$333,16,0)&amp;"",IF($C81="N/A",VLOOKUP($A81,Questions!$A$2:$X$333,18,0)&amp;"",VLOOKUP($A81,Questions!$A$2:$X$333,15,0)&amp;"")))</f>
        <v/>
      </c>
      <c r="F81" s="211" t="str">
        <f>VLOOKUP($A81,'Privacy Analyst Evaluation'!$A$46:$F$120,6,0)&amp;""</f>
        <v/>
      </c>
      <c r="H81" s="42"/>
    </row>
    <row r="82" spans="1:8" s="1" customFormat="1" ht="40.5" customHeight="1" x14ac:dyDescent="0.25">
      <c r="A82" s="25" t="s">
        <v>1102</v>
      </c>
      <c r="B82" s="24" t="str">
        <f>VLOOKUP($A82,Questions!$A$2:$X$333,2,0)</f>
        <v>Do you protect personal information against unauthorized access (both physical and logical)?</v>
      </c>
      <c r="C82" s="27" t="s">
        <v>40</v>
      </c>
      <c r="D82" s="346"/>
      <c r="E82" s="28" t="str">
        <f>IF($C82="Yes",VLOOKUP($A82,Questions!$A$2:$X$333,17,0)&amp;"",IF($C82="No",VLOOKUP($A82,Questions!$A$2:$X$333,16,0)&amp;"",IF($C82="N/A",VLOOKUP($A82,Questions!$A$2:$X$333,18,0)&amp;"",VLOOKUP($A82,Questions!$A$2:$X$333,15,0)&amp;"")))</f>
        <v/>
      </c>
      <c r="F82" s="211" t="str">
        <f>VLOOKUP($A82,'Privacy Analyst Evaluation'!$A$46:$F$120,6,0)&amp;""</f>
        <v/>
      </c>
      <c r="H82" s="42"/>
    </row>
    <row r="83" spans="1:8" s="1" customFormat="1" ht="49.5" customHeight="1" x14ac:dyDescent="0.25">
      <c r="A83" s="25" t="s">
        <v>1103</v>
      </c>
      <c r="B83" s="24" t="str">
        <f>VLOOKUP($A83,Questions!$A$2:$X$333,2,0)</f>
        <v>Do you maintain accurate, complete, and relevant personal information for the purposes identified in the privacy notice?</v>
      </c>
      <c r="C83" s="27" t="s">
        <v>40</v>
      </c>
      <c r="D83" s="346"/>
      <c r="E83" s="28" t="str">
        <f>IF($C83="Yes",VLOOKUP($A83,Questions!$A$2:$X$333,17,0)&amp;"",IF($C83="No",VLOOKUP($A83,Questions!$A$2:$X$333,16,0)&amp;"",IF($C83="N/A",VLOOKUP($A83,Questions!$A$2:$X$333,18,0)&amp;"",VLOOKUP($A83,Questions!$A$2:$X$333,15,0)&amp;"")))</f>
        <v/>
      </c>
      <c r="F83" s="211" t="str">
        <f>VLOOKUP($A83,'Privacy Analyst Evaluation'!$A$46:$F$120,6,0)&amp;""</f>
        <v/>
      </c>
      <c r="H83" s="42"/>
    </row>
    <row r="84" spans="1:8" s="1" customFormat="1" ht="46.5" customHeight="1" x14ac:dyDescent="0.25">
      <c r="A84" s="25" t="s">
        <v>1104</v>
      </c>
      <c r="B84" s="24" t="str">
        <f>VLOOKUP($A84,Questions!$A$2:$X$333,2,0)</f>
        <v>Do you have procedures to address privacy-related noncompliance complaints and disputes?</v>
      </c>
      <c r="C84" s="27" t="s">
        <v>40</v>
      </c>
      <c r="D84" s="346" t="s">
        <v>1822</v>
      </c>
      <c r="E84" s="28" t="str">
        <f>IF($C84="Yes",VLOOKUP($A84,Questions!$A$2:$X$333,17,0)&amp;"",IF($C84="No",VLOOKUP($A84,Questions!$A$2:$X$333,16,0)&amp;"",IF($C84="N/A",VLOOKUP($A84,Questions!$A$2:$X$333,18,0)&amp;"",VLOOKUP($A84,Questions!$A$2:$X$333,15,0)&amp;"")))</f>
        <v/>
      </c>
      <c r="F84" s="211" t="str">
        <f>VLOOKUP($A84,'Privacy Analyst Evaluation'!$A$46:$F$120,6,0)&amp;""</f>
        <v/>
      </c>
      <c r="H84" s="42"/>
    </row>
    <row r="85" spans="1:8" s="1" customFormat="1" ht="45" customHeight="1" x14ac:dyDescent="0.25">
      <c r="A85" s="25" t="s">
        <v>1105</v>
      </c>
      <c r="B85" s="24" t="str">
        <f>VLOOKUP($A85,Questions!$A$2:$X$333,2,0)</f>
        <v>Do you "anonymize," "de-identify," or otherwise mask personal data?</v>
      </c>
      <c r="C85" s="27" t="s">
        <v>149</v>
      </c>
      <c r="D85" s="346"/>
      <c r="E85" s="28" t="str">
        <f>IF($C85="Yes",VLOOKUP($A85,Questions!$A$2:$X$333,17,0)&amp;"",IF($C85="No",VLOOKUP($A85,Questions!$A$2:$X$333,16,0)&amp;"",IF($C85="N/A",VLOOKUP($A85,Questions!$A$2:$X$333,18,0)&amp;"",VLOOKUP($A85,Questions!$A$2:$X$333,15,0)&amp;"")))</f>
        <v/>
      </c>
      <c r="F85" s="211" t="str">
        <f>VLOOKUP($A85,'Privacy Analyst Evaluation'!$A$46:$F$120,6,0)&amp;""</f>
        <v/>
      </c>
      <c r="H85" s="42"/>
    </row>
    <row r="86" spans="1:8" s="1" customFormat="1" ht="93" customHeight="1" x14ac:dyDescent="0.25">
      <c r="A86" s="25" t="s">
        <v>1106</v>
      </c>
      <c r="B86" s="24" t="str">
        <f>VLOOKUP($A86,Questions!$A$2:$X$333,2,0)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86" s="27" t="s">
        <v>149</v>
      </c>
      <c r="D86" s="346"/>
      <c r="E86" s="28" t="str">
        <f>IF($C86="Yes",VLOOKUP($A86,Questions!$A$2:$X$333,17,0)&amp;"",IF($C86="No",VLOOKUP($A86,Questions!$A$2:$X$333,16,0)&amp;"",IF($C86="N/A",VLOOKUP($A86,Questions!$A$2:$X$333,18,0)&amp;"",VLOOKUP($A86,Questions!$A$2:$X$333,15,0)&amp;"")))</f>
        <v/>
      </c>
      <c r="F86" s="211" t="str">
        <f>VLOOKUP($A86,'Privacy Analyst Evaluation'!$A$46:$F$120,6,0)&amp;""</f>
        <v/>
      </c>
      <c r="H86" s="42"/>
    </row>
    <row r="87" spans="1:8" s="1" customFormat="1" ht="48" customHeight="1" x14ac:dyDescent="0.25">
      <c r="A87" s="25" t="s">
        <v>1107</v>
      </c>
      <c r="B87" s="24" t="str">
        <f>VLOOKUP($A87,Questions!$A$2:$X$333,2,0)</f>
        <v>Do you certify stop-processing requests, including any data that is processed by a third party on your behalf?</v>
      </c>
      <c r="C87" s="27" t="s">
        <v>40</v>
      </c>
      <c r="D87" s="346" t="s">
        <v>1823</v>
      </c>
      <c r="E87" s="28" t="str">
        <f>IF($C87="Yes",VLOOKUP($A87,Questions!$A$2:$X$333,17,0)&amp;"",IF($C87="No",VLOOKUP($A87,Questions!$A$2:$X$333,16,0)&amp;"",IF($C87="N/A",VLOOKUP($A87,Questions!$A$2:$X$333,18,0)&amp;"",VLOOKUP($A87,Questions!$A$2:$X$333,15,0)&amp;"")))</f>
        <v/>
      </c>
      <c r="F87" s="211" t="str">
        <f>VLOOKUP($A87,'Privacy Analyst Evaluation'!$A$46:$F$120,6,0)&amp;""</f>
        <v/>
      </c>
      <c r="H87" s="42"/>
    </row>
    <row r="88" spans="1:8" s="1" customFormat="1" ht="36.75" customHeight="1" thickBot="1" x14ac:dyDescent="0.3">
      <c r="A88" s="25" t="s">
        <v>1108</v>
      </c>
      <c r="B88" s="24" t="str">
        <f>VLOOKUP($A88,Questions!$A$2:$X$333,2,0)</f>
        <v>Do you have a process to review code for ethical considerations?</v>
      </c>
      <c r="C88" s="27" t="s">
        <v>149</v>
      </c>
      <c r="D88" s="346"/>
      <c r="E88" s="28" t="str">
        <f>IF($C88="Yes",VLOOKUP($A88,Questions!$A$2:$X$333,17,0)&amp;"",IF($C88="No",VLOOKUP($A88,Questions!$A$2:$X$333,16,0)&amp;"",VLOOKUP($A88,Questions!$A$2:$X$333,15,0)&amp;""))</f>
        <v/>
      </c>
      <c r="F88" s="211" t="str">
        <f>VLOOKUP($A88,'Privacy Analyst Evaluation'!$A$46:$F$120,6,0)&amp;""</f>
        <v/>
      </c>
      <c r="G88" s="255" t="s">
        <v>1531</v>
      </c>
      <c r="H88" s="42"/>
    </row>
    <row r="89" spans="1:8" s="1" customFormat="1" ht="37.4" customHeight="1" thickBot="1" x14ac:dyDescent="0.3">
      <c r="A89" s="70" t="str">
        <f>VLOOKUP(LEFT($A90,4),'Auto Responses'!$N$4:$O$38,2,0)&amp;""</f>
        <v xml:space="preserve"> Privacy and AI</v>
      </c>
      <c r="B89" s="29"/>
      <c r="C89" s="19" t="s">
        <v>1583</v>
      </c>
      <c r="D89" s="19" t="s">
        <v>72</v>
      </c>
      <c r="E89" s="38" t="s">
        <v>904</v>
      </c>
      <c r="F89" s="209" t="s">
        <v>905</v>
      </c>
      <c r="H89" s="42"/>
    </row>
    <row r="90" spans="1:8" s="1" customFormat="1" ht="32.25" customHeight="1" x14ac:dyDescent="0.25">
      <c r="A90" s="25" t="s">
        <v>1109</v>
      </c>
      <c r="B90" s="24" t="str">
        <f>VLOOKUP($A90,Questions!$A$2:$X$333,2,0)</f>
        <v>Does your service use AI for the processing of institutional data?</v>
      </c>
      <c r="C90" s="27"/>
      <c r="D90" s="346" t="s">
        <v>1824</v>
      </c>
      <c r="E90" s="28" t="str">
        <f>IF($C$19="No",'Auto Responses'!$A$6,IF($C90="Yes",VLOOKUP($A90,Questions!$A$2:$X$333,17,0)&amp;"",IF($C90="No",VLOOKUP($A90,Questions!$A$2:$X$333,16,0)&amp;"",VLOOKUP($A90,Questions!$A$2:$X$333,15,0)&amp;"")))</f>
        <v>Based on the response to REQU-04 on the "START HERE" tab, this question does not apply to this product or service.</v>
      </c>
      <c r="F90" s="211" t="str">
        <f>VLOOKUP($A90,'Privacy Analyst Evaluation'!$A$46:$F$120,6,0)&amp;""</f>
        <v/>
      </c>
      <c r="H90" s="42"/>
    </row>
    <row r="91" spans="1:8" s="1" customFormat="1" ht="32.25" customHeight="1" x14ac:dyDescent="0.25">
      <c r="A91" s="25" t="s">
        <v>1110</v>
      </c>
      <c r="B91" s="24" t="str">
        <f>VLOOKUP($A91,Questions!$A$2:$X$333,2,0)</f>
        <v>Is any institutional data retained in AI processing?*</v>
      </c>
      <c r="C91" s="27"/>
      <c r="D91" s="346" t="s">
        <v>1824</v>
      </c>
      <c r="E91" s="28" t="str">
        <f>IF($C$19="No",'Auto Responses'!$A$6,IF($C91="Yes",VLOOKUP($A91,Questions!$A$2:$X$333,17,0)&amp;"",IF($C91="No",VLOOKUP($A91,Questions!$A$2:$X$333,16,0)&amp;"",IF($C91="N/A",VLOOKUP($A91,Questions!$A$2:$X$333,18,0)&amp;"",VLOOKUP($A91,Questions!$A$2:$X$333,15,0)&amp;""))))</f>
        <v>Based on the response to REQU-04 on the "START HERE" tab, this question does not apply to this product or service.</v>
      </c>
      <c r="F91" s="211" t="str">
        <f>VLOOKUP($A91,'Privacy Analyst Evaluation'!$A$46:$F$120,6,0)&amp;""</f>
        <v/>
      </c>
      <c r="H91" s="42"/>
    </row>
    <row r="92" spans="1:8" s="1" customFormat="1" ht="55.5" customHeight="1" x14ac:dyDescent="0.25">
      <c r="A92" s="25" t="s">
        <v>808</v>
      </c>
      <c r="B92" s="24" t="str">
        <f>VLOOKUP($A92,Questions!$A$2:$X$333,2,0)</f>
        <v>Do you have agreements in place with third parties or subprocessors regarding the protection of customer data and use of AI?*</v>
      </c>
      <c r="C92" s="27"/>
      <c r="D92" s="346" t="s">
        <v>1824</v>
      </c>
      <c r="E92" s="28" t="str">
        <f>IF($C$19="No",'Auto Responses'!$A$6,IF($C92="Yes",VLOOKUP($A92,Questions!$A$2:$X$333,17,0)&amp;"",IF($C92="No",VLOOKUP($A92,Questions!$A$2:$X$333,16,0)&amp;"",IF($C92="N/A",VLOOKUP($A92,Questions!$A$2:$X$333,18,0)&amp;"",VLOOKUP($A92,Questions!$A$2:$X$333,15,0)&amp;""))))</f>
        <v>Based on the response to REQU-04 on the "START HERE" tab, this question does not apply to this product or service.</v>
      </c>
      <c r="F92" s="211" t="str">
        <f>VLOOKUP($A92,'Privacy Analyst Evaluation'!$A$46:$F$120,6,0)&amp;""</f>
        <v/>
      </c>
      <c r="H92" s="42"/>
    </row>
    <row r="93" spans="1:8" s="1" customFormat="1" ht="32.25" customHeight="1" x14ac:dyDescent="0.25">
      <c r="A93" s="25" t="s">
        <v>810</v>
      </c>
      <c r="B93" s="24" t="str">
        <f>VLOOKUP($A93,Questions!$A$2:$X$333,2,0)</f>
        <v>Will institutional data be processed through a third party or subprocessor that also uses AI?</v>
      </c>
      <c r="C93" s="27"/>
      <c r="D93" s="346" t="s">
        <v>1824</v>
      </c>
      <c r="E93" s="28" t="str">
        <f>IF($C$19="No",'Auto Responses'!$A$6,IF($C93="Yes",VLOOKUP($A93,Questions!$A$2:$X$333,17,0)&amp;"",IF($C93="No",VLOOKUP($A93,Questions!$A$2:$X$333,16,0)&amp;"",VLOOKUP($A93,Questions!$A$2:$X$333,15,0)&amp;"")))</f>
        <v>Based on the response to REQU-04 on the "START HERE" tab, this question does not apply to this product or service.</v>
      </c>
      <c r="F93" s="211" t="str">
        <f>VLOOKUP($A93,'Privacy Analyst Evaluation'!$A$46:$F$120,6,0)&amp;""</f>
        <v/>
      </c>
      <c r="H93" s="42"/>
    </row>
    <row r="94" spans="1:8" s="1" customFormat="1" ht="32.25" customHeight="1" x14ac:dyDescent="0.25">
      <c r="A94" s="25" t="s">
        <v>811</v>
      </c>
      <c r="B94" s="24" t="str">
        <f>VLOOKUP($A94,Questions!$A$2:$X$333,2,0)</f>
        <v>Is AI processing limited to fully licensed commercial enterprise AI services?</v>
      </c>
      <c r="C94" s="27"/>
      <c r="D94" s="346" t="s">
        <v>1824</v>
      </c>
      <c r="E94" s="28" t="str">
        <f>IF($C$19="No",'Auto Responses'!$A$6,IF($C94="Yes",VLOOKUP($A94,Questions!$A$2:$X$333,17,0)&amp;"",IF($C94="No",VLOOKUP($A94,Questions!$A$2:$X$333,16,0)&amp;"",IF($C94="N/A",VLOOKUP($A94,Questions!$A$2:$X$333,18,0)&amp;"",VLOOKUP($A94,Questions!$A$2:$X$333,15,0)&amp;""))))</f>
        <v>Based on the response to REQU-04 on the "START HERE" tab, this question does not apply to this product or service.</v>
      </c>
      <c r="F94" s="211" t="str">
        <f>VLOOKUP($A94,'Privacy Analyst Evaluation'!$A$46:$F$120,6,0)&amp;""</f>
        <v/>
      </c>
      <c r="H94" s="42"/>
    </row>
    <row r="95" spans="1:8" s="1" customFormat="1" ht="32.25" customHeight="1" x14ac:dyDescent="0.25">
      <c r="A95" s="25" t="s">
        <v>813</v>
      </c>
      <c r="B95" s="24" t="str">
        <f>VLOOKUP($A95,Questions!$A$2:$X$333,2,0)</f>
        <v>Will institutional data be used or processed by any shared AI services?</v>
      </c>
      <c r="C95" s="27"/>
      <c r="D95" s="346" t="s">
        <v>1824</v>
      </c>
      <c r="E95" s="28" t="str">
        <f>IF($C$19="No",'Auto Responses'!$A$6,IF($C95="Yes",VLOOKUP($A95,Questions!$A$2:$X$333,17,0)&amp;"",IF($C95="No",VLOOKUP($A95,Questions!$A$2:$X$333,16,0)&amp;"",VLOOKUP($A95,Questions!$A$2:$X$333,15,0)&amp;"")))</f>
        <v>Based on the response to REQU-04 on the "START HERE" tab, this question does not apply to this product or service.</v>
      </c>
      <c r="F95" s="211" t="str">
        <f>VLOOKUP($A95,'Privacy Analyst Evaluation'!$A$46:$F$120,6,0)&amp;""</f>
        <v/>
      </c>
      <c r="H95" s="42"/>
    </row>
    <row r="96" spans="1:8" s="1" customFormat="1" ht="32.25" customHeight="1" x14ac:dyDescent="0.25">
      <c r="A96" s="25" t="s">
        <v>814</v>
      </c>
      <c r="B96" s="24" t="str">
        <f>VLOOKUP($A96,Questions!$A$2:$X$333,2,0)</f>
        <v>Do you have safeguards in place to protect institutional data and data privacy from unintended AI queries or processing?</v>
      </c>
      <c r="C96" s="27"/>
      <c r="D96" s="346" t="s">
        <v>1824</v>
      </c>
      <c r="E96" s="28" t="str">
        <f>IF($C$19="No",'Auto Responses'!$A$6,IF($C96="Yes",VLOOKUP($A96,Questions!$A$2:$X$333,17,0)&amp;"",IF($C96="No",VLOOKUP($A96,Questions!$A$2:$X$333,16,0)&amp;"",VLOOKUP($A96,Questions!$A$2:$X$333,15,0)&amp;"")))</f>
        <v>Based on the response to REQU-04 on the "START HERE" tab, this question does not apply to this product or service.</v>
      </c>
      <c r="F96" s="211" t="str">
        <f>VLOOKUP($A96,'Privacy Analyst Evaluation'!$A$46:$F$120,6,0)&amp;""</f>
        <v/>
      </c>
      <c r="H96" s="42"/>
    </row>
    <row r="97" spans="1:11" s="1" customFormat="1" ht="55.5" customHeight="1" x14ac:dyDescent="0.25">
      <c r="A97" s="25" t="s">
        <v>815</v>
      </c>
      <c r="B97" s="24" t="str">
        <f>VLOOKUP($A97,Questions!$A$2:$X$333,2,0)</f>
        <v>Do you provide choice to the user to opt out of AI use?</v>
      </c>
      <c r="C97" s="27"/>
      <c r="D97" s="346" t="s">
        <v>1824</v>
      </c>
      <c r="E97" s="28" t="str">
        <f>IF($C$19="No",'Auto Responses'!$A$6,IF($C97="Yes",VLOOKUP($A97,Questions!$A$2:$X$333,17,0)&amp;"",IF($C97="No",VLOOKUP($A97,Questions!$A$2:$X$333,16,0)&amp;"",IF($C97="N/A",VLOOKUP($A97,Questions!$A$2:$X$333,18,0)&amp;"",VLOOKUP($A97,Questions!$A$2:$X$333,15,0)&amp;""))))</f>
        <v>Based on the response to REQU-04 on the "START HERE" tab, this question does not apply to this product or service.</v>
      </c>
      <c r="F97" s="211" t="str">
        <f>VLOOKUP($A97,'Privacy Analyst Evaluation'!$A$46:$F$120,6,0)&amp;""</f>
        <v/>
      </c>
      <c r="G97" s="255" t="s">
        <v>1531</v>
      </c>
      <c r="H97" s="42"/>
    </row>
    <row r="98" spans="1:11" s="1" customFormat="1" ht="44.25" customHeight="1" x14ac:dyDescent="0.25">
      <c r="A98" s="285" t="s">
        <v>1593</v>
      </c>
      <c r="C98" s="14"/>
      <c r="D98" s="15"/>
      <c r="E98" s="47"/>
      <c r="F98" s="203"/>
      <c r="H98" s="42"/>
    </row>
    <row r="99" spans="1:11" s="1" customFormat="1" ht="15" hidden="1" customHeight="1" x14ac:dyDescent="0.25">
      <c r="A99"/>
      <c r="C99" s="14"/>
      <c r="D99" s="15"/>
      <c r="E99" s="47"/>
      <c r="F99" s="203"/>
      <c r="H99" s="42"/>
    </row>
    <row r="100" spans="1:11" ht="15" hidden="1" customHeight="1" x14ac:dyDescent="0.25">
      <c r="A100" s="1"/>
      <c r="B100" s="14"/>
      <c r="C100" s="78"/>
      <c r="D100" s="16"/>
      <c r="E100" s="48"/>
      <c r="G100" s="42"/>
      <c r="H100" s="1"/>
      <c r="K100"/>
    </row>
    <row r="101" spans="1:11" ht="0" hidden="1" customHeight="1" x14ac:dyDescent="0.25">
      <c r="A101" s="25" t="e">
        <f>#REF!</f>
        <v>#REF!</v>
      </c>
    </row>
    <row r="102" spans="1:11" s="1" customFormat="1" ht="0" hidden="1" customHeight="1" x14ac:dyDescent="0.25">
      <c r="A102" s="25" t="e">
        <f>#REF!</f>
        <v>#REF!</v>
      </c>
      <c r="C102" s="14"/>
      <c r="D102" s="15"/>
      <c r="E102" s="47"/>
      <c r="F102" s="203"/>
      <c r="H102" s="42"/>
    </row>
    <row r="103" spans="1:11" s="1" customFormat="1" ht="0" hidden="1" customHeight="1" x14ac:dyDescent="0.25">
      <c r="A103" s="25" t="e">
        <f>#REF!</f>
        <v>#REF!</v>
      </c>
      <c r="C103" s="14"/>
      <c r="D103" s="15"/>
      <c r="E103" s="47"/>
      <c r="F103" s="203"/>
      <c r="H103" s="42"/>
    </row>
    <row r="104" spans="1:11" s="1" customFormat="1" ht="0" hidden="1" customHeight="1" x14ac:dyDescent="0.25">
      <c r="A104" s="25" t="e">
        <f>#REF!</f>
        <v>#REF!</v>
      </c>
      <c r="C104" s="14"/>
      <c r="D104" s="15"/>
      <c r="E104" s="47"/>
      <c r="F104" s="203"/>
      <c r="H104" s="42"/>
    </row>
    <row r="105" spans="1:11" s="1" customFormat="1" ht="0" hidden="1" customHeight="1" x14ac:dyDescent="0.25">
      <c r="A105" s="25" t="e">
        <f>#REF!</f>
        <v>#REF!</v>
      </c>
      <c r="C105" s="14"/>
      <c r="D105" s="15"/>
      <c r="E105" s="47"/>
      <c r="F105" s="203"/>
      <c r="H105" s="42"/>
    </row>
    <row r="106" spans="1:11" s="1" customFormat="1" ht="0" hidden="1" customHeight="1" x14ac:dyDescent="0.25">
      <c r="A106" s="25" t="e">
        <f>#REF!</f>
        <v>#REF!</v>
      </c>
      <c r="C106" s="14"/>
      <c r="D106" s="15"/>
      <c r="E106" s="47"/>
      <c r="F106" s="203"/>
      <c r="H106" s="42"/>
    </row>
    <row r="107" spans="1:11" s="1" customFormat="1" ht="0" hidden="1" customHeight="1" x14ac:dyDescent="0.25">
      <c r="A107" s="25" t="e">
        <f>#REF!</f>
        <v>#REF!</v>
      </c>
      <c r="C107" s="14"/>
      <c r="D107" s="15"/>
      <c r="E107" s="47"/>
      <c r="F107" s="203"/>
      <c r="H107" s="42"/>
    </row>
    <row r="108" spans="1:11" s="1" customFormat="1" ht="0" hidden="1" customHeight="1" x14ac:dyDescent="0.25">
      <c r="A108"/>
      <c r="C108" s="14"/>
      <c r="D108" s="15"/>
      <c r="E108" s="47"/>
      <c r="F108" s="203"/>
      <c r="H108" s="42"/>
    </row>
    <row r="109" spans="1:11" s="1" customFormat="1" ht="0" hidden="1" customHeight="1" x14ac:dyDescent="0.25">
      <c r="A109"/>
      <c r="C109" s="14"/>
      <c r="D109" s="15"/>
      <c r="E109" s="47"/>
      <c r="F109" s="203"/>
      <c r="H109" s="42"/>
    </row>
    <row r="110" spans="1:11" s="1" customFormat="1" ht="0" hidden="1" customHeight="1" x14ac:dyDescent="0.25">
      <c r="A110"/>
      <c r="C110" s="14"/>
      <c r="D110" s="15"/>
      <c r="E110" s="47"/>
      <c r="F110" s="203"/>
      <c r="H110" s="42"/>
    </row>
    <row r="111" spans="1:11" s="1" customFormat="1" ht="0" hidden="1" customHeight="1" x14ac:dyDescent="0.25">
      <c r="A111"/>
      <c r="C111" s="14"/>
      <c r="D111" s="15"/>
      <c r="E111" s="47"/>
      <c r="F111" s="203"/>
      <c r="H111" s="42"/>
    </row>
    <row r="112" spans="1:11" s="1" customFormat="1" ht="0" hidden="1" customHeight="1" x14ac:dyDescent="0.25">
      <c r="A112"/>
      <c r="C112" s="14"/>
      <c r="D112" s="15"/>
      <c r="E112" s="47"/>
      <c r="F112" s="203"/>
      <c r="H112" s="42"/>
    </row>
    <row r="113" spans="1:8" s="1" customFormat="1" ht="0" hidden="1" customHeight="1" x14ac:dyDescent="0.25">
      <c r="A113"/>
      <c r="C113" s="14"/>
      <c r="D113" s="15"/>
      <c r="E113" s="47"/>
      <c r="F113" s="203"/>
      <c r="H113" s="42"/>
    </row>
    <row r="114" spans="1:8" s="1" customFormat="1" ht="0" hidden="1" customHeight="1" x14ac:dyDescent="0.25">
      <c r="A114"/>
      <c r="C114" s="14"/>
      <c r="D114" s="15"/>
      <c r="E114" s="47"/>
      <c r="F114" s="203"/>
      <c r="H114" s="42"/>
    </row>
    <row r="115" spans="1:8" s="1" customFormat="1" ht="0" hidden="1" customHeight="1" x14ac:dyDescent="0.25">
      <c r="A115"/>
      <c r="C115" s="14"/>
      <c r="D115" s="15"/>
      <c r="E115" s="47"/>
      <c r="F115" s="203"/>
      <c r="H115" s="42"/>
    </row>
    <row r="116" spans="1:8" s="1" customFormat="1" ht="0" hidden="1" customHeight="1" x14ac:dyDescent="0.25">
      <c r="A116"/>
      <c r="C116" s="14"/>
      <c r="D116" s="15"/>
      <c r="E116" s="47"/>
      <c r="F116" s="203"/>
      <c r="H116" s="42"/>
    </row>
    <row r="117" spans="1:8" s="1" customFormat="1" ht="0" hidden="1" customHeight="1" x14ac:dyDescent="0.25">
      <c r="A117"/>
      <c r="C117" s="14"/>
      <c r="D117" s="15"/>
      <c r="E117" s="47"/>
      <c r="F117" s="203"/>
      <c r="H117" s="42"/>
    </row>
  </sheetData>
  <phoneticPr fontId="32" type="noConversion"/>
  <dataValidations count="3">
    <dataValidation allowBlank="1" showInputMessage="1" showErrorMessage="1" promptTitle="Warning!" prompt="The HECVAT is built using a number of complex formulas. Editing this cell can break the functionality of the tool. " sqref="C2 A3:A98 C18:D18 C23:D23 C29:D29 C34:D34 C38:D38 C41:D41 C44:D44 C53:D53 C67:D67 C73:D73 C89:D89 C4:F12 D2:F3 B2:B98 E18:F98" xr:uid="{F8AA2BEC-624D-4324-B4BB-6EDEF05B99D0}"/>
    <dataValidation allowBlank="1" showInputMessage="1" showErrorMessage="1" prompt="This answer has been populated from the &quot;START HERE&quot; tab and does not need to be re-entered." sqref="C3 C13:C17 C19:C22" xr:uid="{CCCA180B-093F-4021-8BA7-878B4FE495EE}"/>
    <dataValidation allowBlank="1" showInputMessage="1" showErrorMessage="1" prompt="This cell should be left blank. Input your answer in column C." sqref="D28 D31" xr:uid="{01589E43-4C2A-48D7-ADE5-F95ABF77015D}"/>
  </dataValidations>
  <hyperlinks>
    <hyperlink ref="A11" r:id="rId1" display="http://www.educause.edu/HECVAT" xr:uid="{78E2AF21-FDB2-45BF-A77C-5149A25000FB}"/>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DF7562B-1F06-4B32-8D46-242693F672D2}">
          <x14:formula1>
            <xm:f>'Auto Responses'!$J$3:$J$4</xm:f>
          </x14:formula1>
          <xm:sqref>C24:C27 C68:C71 C62:C66 C36:C37 C90 C45:C52 C42:C43 C39:C40 C30 C32:C33 C95:C96 C93 C54:C60 C74:C75 C88</xm:sqref>
        </x14:dataValidation>
        <x14:dataValidation type="list" allowBlank="1" showInputMessage="1" showErrorMessage="1" xr:uid="{A7CD7EA2-4712-436A-ABAD-79A46B9B4A1C}">
          <x14:formula1>
            <xm:f>'Auto Responses'!$J$3:$J$5</xm:f>
          </x14:formula1>
          <xm:sqref>C35 C72 C91:C92 C94 C97 C61 C76:C87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E35C-F7CF-4FEE-8A9D-D66B63E8CBBB}">
  <sheetPr>
    <tabColor rgb="FFE0B233"/>
  </sheetPr>
  <dimension ref="A1:N364"/>
  <sheetViews>
    <sheetView showGridLines="0" showZeros="0" topLeftCell="A13" zoomScale="80" zoomScaleNormal="80" workbookViewId="0">
      <selection activeCell="G18" sqref="G18"/>
    </sheetView>
  </sheetViews>
  <sheetFormatPr defaultColWidth="0" defaultRowHeight="0" customHeight="1" zeroHeight="1" x14ac:dyDescent="0.3"/>
  <cols>
    <col min="1" max="1" width="18.796875" style="62" customWidth="1"/>
    <col min="2" max="2" width="57.59765625" style="62" customWidth="1"/>
    <col min="3" max="9" width="19.59765625" style="62" customWidth="1"/>
    <col min="10" max="10" width="18.796875" style="62" customWidth="1"/>
    <col min="11" max="11" width="0.19921875" style="62" customWidth="1"/>
    <col min="12" max="12" width="8.46484375" style="62" customWidth="1"/>
    <col min="13" max="13" width="0" style="62" hidden="1" customWidth="1"/>
    <col min="14" max="16384" width="8.46484375" style="62" hidden="1"/>
  </cols>
  <sheetData>
    <row r="1" spans="1:10" ht="0" hidden="1" customHeight="1" x14ac:dyDescent="0.3">
      <c r="A1" s="62" t="s">
        <v>1533</v>
      </c>
    </row>
    <row r="2" spans="1:10" ht="36" customHeight="1" x14ac:dyDescent="0.3">
      <c r="A2" s="183" t="s">
        <v>1603</v>
      </c>
      <c r="B2" s="180"/>
      <c r="C2" s="180"/>
      <c r="D2" s="180"/>
      <c r="E2" s="180"/>
      <c r="F2" s="180"/>
      <c r="G2" s="180"/>
      <c r="H2" s="180"/>
      <c r="I2" s="213" t="str">
        <f>'Auto Responses'!$A$36</f>
        <v>Version 4.1.0</v>
      </c>
      <c r="J2" s="181"/>
    </row>
    <row r="3" spans="1:10" ht="25.5" customHeight="1" x14ac:dyDescent="0.3">
      <c r="A3" s="105"/>
      <c r="B3" s="105"/>
      <c r="C3" s="105"/>
      <c r="D3" s="105"/>
      <c r="E3" s="105"/>
      <c r="F3" s="105"/>
      <c r="G3" s="105"/>
      <c r="H3" s="105"/>
      <c r="I3" s="105"/>
      <c r="J3" s="105"/>
    </row>
    <row r="4" spans="1:10" ht="36" customHeight="1" x14ac:dyDescent="0.3">
      <c r="A4" s="106" t="s">
        <v>922</v>
      </c>
      <c r="B4" s="107"/>
      <c r="C4" s="107"/>
      <c r="D4" s="107"/>
      <c r="E4" s="107"/>
      <c r="F4" s="107"/>
      <c r="G4" s="107"/>
      <c r="H4" s="107"/>
      <c r="I4" s="107"/>
      <c r="J4" s="107"/>
    </row>
    <row r="5" spans="1:10" s="289" customFormat="1" ht="19.5" customHeight="1" x14ac:dyDescent="0.3">
      <c r="A5" s="269" t="str">
        <f>HLOOKUP($A$4,'Auto Responses'!$F$2:$F$7,2,0)&amp;""</f>
        <v>1. Upon initial review, you can check the "Non-Negotiable" box by any question to compile a report of questions that may prohibit a full review.</v>
      </c>
      <c r="B5" s="269"/>
      <c r="C5" s="269"/>
      <c r="D5" s="269"/>
      <c r="E5" s="269"/>
      <c r="F5" s="269"/>
      <c r="G5" s="269"/>
      <c r="H5" s="269"/>
      <c r="I5" s="269"/>
      <c r="J5" s="269"/>
    </row>
    <row r="6" spans="1:10" s="289" customFormat="1" ht="19.5" customHeight="1" x14ac:dyDescent="0.3">
      <c r="A6" s="269" t="str">
        <f>HLOOKUP($A$4,'Auto Responses'!$F$2:$F$7,3,0)&amp;""</f>
        <v>2. When evaluating an answer, a default importance level has been set. You can use the "Importance Override" dropdown to override the default and adjust the value of the question.</v>
      </c>
      <c r="B6" s="269"/>
      <c r="C6" s="269"/>
      <c r="D6" s="269"/>
      <c r="E6" s="269"/>
      <c r="F6" s="269"/>
      <c r="G6" s="269"/>
      <c r="H6" s="269"/>
      <c r="I6" s="269"/>
      <c r="J6" s="269"/>
    </row>
    <row r="7" spans="1:10" s="289" customFormat="1" ht="19.5" customHeight="1" x14ac:dyDescent="0.3">
      <c r="A7" s="269" t="str">
        <f>HLOOKUP($A$4,'Auto Responses'!$F$2:$F$7,4,0)&amp;""</f>
        <v>3. For questions that are qualitative or for which you disagree with the preferred response, make a selection in the "Compliant Override" dropdown to adjust the question's impact on the score.</v>
      </c>
      <c r="B7" s="269"/>
      <c r="C7" s="269"/>
      <c r="D7" s="269"/>
      <c r="E7" s="269"/>
      <c r="F7" s="269"/>
      <c r="G7" s="269"/>
      <c r="H7" s="269"/>
      <c r="I7" s="269"/>
      <c r="J7" s="269"/>
    </row>
    <row r="8" spans="1:10" s="289" customFormat="1" ht="19.5" customHeight="1" x14ac:dyDescent="0.3">
      <c r="A8" s="269" t="str">
        <f>HLOOKUP($A$4,'Auto Responses'!$F$2:$F$7,5,0)&amp;""</f>
        <v xml:space="preserve">4. Each worksheet shows a report for that section. See the "Analyst Report" sheet for a full report of all sections. </v>
      </c>
      <c r="B8" s="269"/>
      <c r="C8" s="269"/>
      <c r="D8" s="269"/>
      <c r="E8" s="269"/>
      <c r="F8" s="269"/>
      <c r="G8" s="269"/>
      <c r="H8" s="269"/>
      <c r="I8" s="269"/>
      <c r="J8" s="269"/>
    </row>
    <row r="9" spans="1:10" s="289" customFormat="1" ht="19.5" customHeight="1" x14ac:dyDescent="0.3">
      <c r="A9" s="269" t="str">
        <f>HLOOKUP($A$4,'Auto Responses'!$F$2:$F$7,6,0)&amp;""</f>
        <v xml:space="preserve">5. If you are evaluating a question that appears in an earlier section, the Importance and Compliant Override cannot be changed but additional notes can be added. </v>
      </c>
      <c r="B9" s="269"/>
      <c r="C9" s="269"/>
      <c r="D9" s="269"/>
      <c r="E9" s="269"/>
      <c r="F9" s="269"/>
      <c r="G9" s="269"/>
      <c r="H9" s="269"/>
      <c r="I9" s="269"/>
      <c r="J9" s="269"/>
    </row>
    <row r="10" spans="1:10" ht="19.5" customHeight="1" thickBot="1" x14ac:dyDescent="0.35">
      <c r="A10" s="270" t="str">
        <f>HLOOKUP($A$4,'Auto Responses'!$F$2:$F$8,7,0)&amp;""</f>
        <v>For full instructions, please visit EDUCAUSE.edu/HECVAT</v>
      </c>
      <c r="B10" s="68"/>
      <c r="C10" s="68"/>
      <c r="D10" s="68"/>
      <c r="E10" s="68"/>
      <c r="F10" s="68"/>
      <c r="G10" s="68"/>
      <c r="H10" s="68"/>
      <c r="I10" s="68"/>
      <c r="J10" s="68"/>
    </row>
    <row r="11" spans="1:10" s="96" customFormat="1" ht="25.5" customHeight="1" x14ac:dyDescent="0.3">
      <c r="A11" s="163" t="str">
        <f>'START HERE'!$B$13</f>
        <v>Solution Provider Name</v>
      </c>
      <c r="B11" s="149"/>
      <c r="C11" s="143" t="str">
        <f>VLOOKUP($A11,'START HERE'!$B$13:$C$21,2,0)&amp;""</f>
        <v xml:space="preserve">Cirrus Identity </v>
      </c>
      <c r="D11" s="144"/>
      <c r="E11" s="218"/>
      <c r="F11" s="221"/>
      <c r="G11" s="97"/>
      <c r="H11" s="102"/>
      <c r="I11" s="97"/>
      <c r="J11" s="97"/>
    </row>
    <row r="12" spans="1:10" s="96" customFormat="1" ht="25.5" customHeight="1" x14ac:dyDescent="0.3">
      <c r="A12" s="164" t="str">
        <f>'START HERE'!$B$16</f>
        <v>Solution Provider Contact Name</v>
      </c>
      <c r="B12" s="150"/>
      <c r="C12" s="142" t="str">
        <f>VLOOKUP($A12,'START HERE'!$B$13:$C$21,2,0)&amp;""</f>
        <v xml:space="preserve">Mark Rank </v>
      </c>
      <c r="D12" s="104"/>
      <c r="E12" s="219"/>
      <c r="F12" s="221"/>
      <c r="G12" s="97"/>
      <c r="H12" s="102"/>
      <c r="I12" s="97"/>
      <c r="J12" s="97"/>
    </row>
    <row r="13" spans="1:10" s="96" customFormat="1" ht="25.5" customHeight="1" x14ac:dyDescent="0.3">
      <c r="A13" s="164" t="str">
        <f>'START HERE'!$B$17</f>
        <v>Solution Provider Contact Title</v>
      </c>
      <c r="B13" s="150"/>
      <c r="C13" s="142" t="str">
        <f>VLOOKUP($A13,'START HERE'!$B$13:$C$21,2,0)&amp;""</f>
        <v>Director of Compliance and Strategic Insights</v>
      </c>
      <c r="D13" s="104"/>
      <c r="E13" s="219"/>
      <c r="F13" s="221"/>
      <c r="G13" s="97"/>
      <c r="H13" s="102"/>
      <c r="I13" s="97"/>
      <c r="J13" s="97"/>
    </row>
    <row r="14" spans="1:10" s="96" customFormat="1" ht="25.5" customHeight="1" x14ac:dyDescent="0.3">
      <c r="A14" s="164" t="str">
        <f>'START HERE'!$B$18</f>
        <v>Solution Provider Contact Email</v>
      </c>
      <c r="B14" s="150"/>
      <c r="C14" s="142" t="str">
        <f>VLOOKUP($A14,'START HERE'!$B$13:$C$21,2,0)&amp;""</f>
        <v>mark.rank@cirrusidentity.com</v>
      </c>
      <c r="D14" s="104"/>
      <c r="E14" s="219"/>
      <c r="F14" s="222"/>
      <c r="G14" s="141"/>
      <c r="H14" s="141"/>
      <c r="I14" s="141"/>
      <c r="J14" s="141"/>
    </row>
    <row r="15" spans="1:10" s="96" customFormat="1" ht="25.5" customHeight="1" x14ac:dyDescent="0.3">
      <c r="A15" s="164" t="str">
        <f>'START HERE'!$B$14</f>
        <v>Solution Name</v>
      </c>
      <c r="B15" s="150"/>
      <c r="C15" s="142" t="str">
        <f>VLOOKUP($A15,'START HERE'!$B$13:$C$21,2,0)&amp;""</f>
        <v>Cirrus Identity Gateway, Cirrus Identity Proxy, Cirrus Identity Bridge, Cirrus Identity Attribute Authority, Cirrus Identity Invitation, Cirrus Identity Account Linking, Cirrus Identity OrgBrandedID, and Cirrus Identity MFA -- Collective referred to as Cirrus Identity Products</v>
      </c>
      <c r="D15" s="104"/>
      <c r="E15" s="219"/>
      <c r="F15" s="222"/>
      <c r="G15" s="141"/>
      <c r="H15" s="141"/>
      <c r="I15" s="141"/>
      <c r="J15" s="141"/>
    </row>
    <row r="16" spans="1:10" s="96" customFormat="1" ht="25.5" customHeight="1" x14ac:dyDescent="0.3">
      <c r="A16" s="164" t="str">
        <f>'START HERE'!$B$15</f>
        <v>Solution Description</v>
      </c>
      <c r="B16" s="150"/>
      <c r="C16" s="142" t="str">
        <f>VLOOKUP($A16,'START HERE'!$B$13:$C$21,2,0)&amp;""</f>
        <v>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v>
      </c>
      <c r="D16" s="104"/>
      <c r="E16" s="219"/>
      <c r="F16" s="222"/>
      <c r="G16" s="141"/>
      <c r="H16" s="141"/>
      <c r="I16" s="141"/>
      <c r="J16" s="141"/>
    </row>
    <row r="17" spans="1:11" s="96" customFormat="1" ht="25.5" customHeight="1" thickBot="1" x14ac:dyDescent="0.35">
      <c r="A17" s="165" t="s">
        <v>1004</v>
      </c>
      <c r="B17" s="151"/>
      <c r="C17" s="362">
        <f>'START HERE'!$C$3</f>
        <v>45894</v>
      </c>
      <c r="D17" s="147"/>
      <c r="E17" s="220"/>
      <c r="F17" s="222"/>
      <c r="G17" s="141"/>
      <c r="H17" s="141"/>
      <c r="I17" s="141"/>
      <c r="J17" s="141"/>
    </row>
    <row r="18" spans="1:11" s="96" customFormat="1" ht="24.75" customHeight="1" x14ac:dyDescent="0.3">
      <c r="A18" s="97"/>
      <c r="B18" s="97"/>
      <c r="C18" s="277"/>
      <c r="D18" s="103"/>
      <c r="E18" s="97"/>
      <c r="F18" s="97"/>
      <c r="G18" s="97"/>
      <c r="H18" s="98"/>
      <c r="I18" s="98"/>
      <c r="J18" s="98"/>
    </row>
    <row r="19" spans="1:11" s="94" customFormat="1" ht="24" customHeight="1" thickBot="1" x14ac:dyDescent="0.35">
      <c r="A19" s="363"/>
      <c r="B19" s="363"/>
      <c r="C19" s="363"/>
      <c r="D19" s="95"/>
    </row>
    <row r="20" spans="1:11" ht="30" customHeight="1" thickBot="1" x14ac:dyDescent="0.35">
      <c r="A20" s="290" t="s">
        <v>1596</v>
      </c>
      <c r="B20" s="90" t="s">
        <v>1003</v>
      </c>
      <c r="C20" s="117" t="s">
        <v>1597</v>
      </c>
      <c r="D20" s="89" t="s">
        <v>1598</v>
      </c>
      <c r="E20" s="116" t="s">
        <v>1002</v>
      </c>
      <c r="F20" s="116" t="s">
        <v>1001</v>
      </c>
      <c r="G20" s="132" t="s">
        <v>1023</v>
      </c>
      <c r="H20" s="133"/>
      <c r="I20" s="134"/>
    </row>
    <row r="21" spans="1:11" s="91" customFormat="1" ht="40.5" customHeight="1" x14ac:dyDescent="0.3">
      <c r="B21" s="92" t="str">
        <f>VLOOKUP($K21,'Auto Responses'!$N$4:$O$38,2,0)&amp;""</f>
        <v xml:space="preserve"> Company Information</v>
      </c>
      <c r="C21" s="124" t="b">
        <v>1</v>
      </c>
      <c r="D21" s="118">
        <f>IF($C21=TRUE,SUMIF('(backend scoring)'!$B$3:$B$333,$K21,'(backend scoring)'!$O$3:$O$333),"")</f>
        <v>30</v>
      </c>
      <c r="E21" s="125">
        <f>IF($C21=TRUE,SUMIF('(backend scoring)'!$B$3:$B$333,$K21,'(backend scoring)'!$P$3:$P$333),"")</f>
        <v>25</v>
      </c>
      <c r="F21" s="153">
        <f t="shared" ref="F21:F39" si="0">IFERROR($E21/$D21,"N/A")</f>
        <v>0.83333333333333337</v>
      </c>
      <c r="G21" s="229" t="str">
        <f>"Jump to "&amp;B21</f>
        <v>Jump to  Company Information</v>
      </c>
      <c r="H21" s="127"/>
      <c r="I21" s="129"/>
      <c r="K21" s="91" t="s">
        <v>932</v>
      </c>
    </row>
    <row r="22" spans="1:11" s="91" customFormat="1" ht="40.5" customHeight="1" x14ac:dyDescent="0.3">
      <c r="A22" s="283"/>
      <c r="B22" s="92" t="str">
        <f>VLOOKUP($K22,'Auto Responses'!$N$4:$O$38,2,0)&amp;""</f>
        <v xml:space="preserve"> Documentation</v>
      </c>
      <c r="C22" s="124" t="b">
        <v>1</v>
      </c>
      <c r="D22" s="118">
        <f>IF($C22=TRUE,SUMIF('(backend scoring)'!$B$3:$B$333,$K22,'(backend scoring)'!$O$3:$O$333),"")</f>
        <v>90</v>
      </c>
      <c r="E22" s="125">
        <f>IF($C22=TRUE,SUMIF('(backend scoring)'!$B$3:$B$333,$K22,'(backend scoring)'!$P$3:$P$333),"")</f>
        <v>90</v>
      </c>
      <c r="F22" s="152">
        <f t="shared" si="0"/>
        <v>1</v>
      </c>
      <c r="G22" s="230" t="str">
        <f t="shared" ref="G22:G36" si="1">"Jump to "&amp;B22</f>
        <v>Jump to  Documentation</v>
      </c>
      <c r="H22" s="126"/>
      <c r="I22" s="130"/>
      <c r="K22" s="91" t="s">
        <v>936</v>
      </c>
    </row>
    <row r="23" spans="1:11" s="91" customFormat="1" ht="40.5" customHeight="1" x14ac:dyDescent="0.3">
      <c r="A23" s="283"/>
      <c r="B23" s="92" t="str">
        <f>VLOOKUP($K23,'Auto Responses'!$N$4:$O$38,2,0)&amp;""</f>
        <v xml:space="preserve"> Assessment of Third Parties</v>
      </c>
      <c r="C23" s="124" t="b">
        <v>1</v>
      </c>
      <c r="D23" s="118">
        <f>IF($C23=TRUE,SUMIF('(backend scoring)'!$B$3:$B$333,$K23,'(backend scoring)'!$O$3:$O$333),"")</f>
        <v>90</v>
      </c>
      <c r="E23" s="125">
        <f>IF($C23=TRUE,SUMIF('(backend scoring)'!$B$3:$B$333,$K23,'(backend scoring)'!$P$3:$P$333),"")</f>
        <v>90</v>
      </c>
      <c r="F23" s="152">
        <f t="shared" si="0"/>
        <v>1</v>
      </c>
      <c r="G23" s="230" t="str">
        <f t="shared" si="1"/>
        <v>Jump to  Assessment of Third Parties</v>
      </c>
      <c r="H23" s="126"/>
      <c r="I23" s="130"/>
      <c r="K23" s="91" t="s">
        <v>940</v>
      </c>
    </row>
    <row r="24" spans="1:11" s="91" customFormat="1" ht="40.5" customHeight="1" x14ac:dyDescent="0.3">
      <c r="B24" s="92" t="str">
        <f>VLOOKUP($K24,'Auto Responses'!$N$4:$O$38,2,0)&amp;""</f>
        <v xml:space="preserve"> Change Management</v>
      </c>
      <c r="C24" s="124" t="b">
        <v>1</v>
      </c>
      <c r="D24" s="118">
        <f>IF($C24=TRUE,SUMIF('(backend scoring)'!$B$3:$B$333,$K24,'(backend scoring)'!$O$3:$O$333),"")</f>
        <v>150</v>
      </c>
      <c r="E24" s="125">
        <f>IF($C24=TRUE,SUMIF('(backend scoring)'!$B$3:$B$333,$K24,'(backend scoring)'!$P$3:$P$333),"")</f>
        <v>145</v>
      </c>
      <c r="F24" s="152">
        <f t="shared" si="0"/>
        <v>0.96666666666666667</v>
      </c>
      <c r="G24" s="230" t="str">
        <f t="shared" si="1"/>
        <v>Jump to  Change Management</v>
      </c>
      <c r="H24" s="126"/>
      <c r="I24" s="130"/>
      <c r="K24" s="91" t="s">
        <v>947</v>
      </c>
    </row>
    <row r="25" spans="1:11" s="91" customFormat="1" ht="40.5" customHeight="1" x14ac:dyDescent="0.3">
      <c r="B25" s="92" t="str">
        <f>VLOOKUP($K25,'Auto Responses'!$N$4:$O$38,2,0)&amp;""</f>
        <v xml:space="preserve"> Policies, Processes, and Procedures</v>
      </c>
      <c r="C25" s="124" t="b">
        <v>1</v>
      </c>
      <c r="D25" s="118">
        <f>IF($C25=TRUE,SUMIF('(backend scoring)'!$B$3:$B$333,$K25,'(backend scoring)'!$O$3:$O$333),"")</f>
        <v>145</v>
      </c>
      <c r="E25" s="125">
        <f>IF($C25=TRUE,SUMIF('(backend scoring)'!$B$3:$B$333,$K25,'(backend scoring)'!$P$3:$P$333),"")</f>
        <v>145</v>
      </c>
      <c r="F25" s="152">
        <f t="shared" si="0"/>
        <v>1</v>
      </c>
      <c r="G25" s="230" t="str">
        <f t="shared" si="1"/>
        <v>Jump to  Policies, Processes, and Procedures</v>
      </c>
      <c r="H25" s="126"/>
      <c r="I25" s="130"/>
      <c r="K25" s="91" t="s">
        <v>954</v>
      </c>
    </row>
    <row r="26" spans="1:11" s="91" customFormat="1" ht="40.5" customHeight="1" x14ac:dyDescent="0.3">
      <c r="B26" s="92" t="str">
        <f>VLOOKUP($K26,'Auto Responses'!$N$4:$O$38,2,0)&amp;""</f>
        <v xml:space="preserve"> Authentication, Authorization, and Account Management</v>
      </c>
      <c r="C26" s="124" t="b">
        <v>1</v>
      </c>
      <c r="D26" s="118">
        <f>IF($C26=TRUE,SUMIF('(backend scoring)'!$B$3:$B$333,$K26,'(backend scoring)'!$O$3:$O$333),"")</f>
        <v>250</v>
      </c>
      <c r="E26" s="125">
        <f>IF($C26=TRUE,SUMIF('(backend scoring)'!$B$3:$B$333,$K26,'(backend scoring)'!$P$3:$P$333),"")</f>
        <v>210</v>
      </c>
      <c r="F26" s="152">
        <f t="shared" si="0"/>
        <v>0.84</v>
      </c>
      <c r="G26" s="230" t="str">
        <f t="shared" si="1"/>
        <v>Jump to  Authentication, Authorization, and Account Management</v>
      </c>
      <c r="H26" s="126"/>
      <c r="I26" s="130"/>
      <c r="K26" s="91" t="s">
        <v>946</v>
      </c>
    </row>
    <row r="27" spans="1:11" s="91" customFormat="1" ht="40.5" customHeight="1" x14ac:dyDescent="0.3">
      <c r="B27" s="92" t="str">
        <f>VLOOKUP($K27,'Auto Responses'!$N$4:$O$38,2,0)&amp;""</f>
        <v xml:space="preserve"> Data</v>
      </c>
      <c r="C27" s="124" t="b">
        <v>1</v>
      </c>
      <c r="D27" s="118">
        <f>IF($C27=TRUE,SUMIF('(backend scoring)'!$B$3:$B$333,$K27,'(backend scoring)'!$O$3:$O$333),"")</f>
        <v>280</v>
      </c>
      <c r="E27" s="125">
        <f>IF($C27=TRUE,SUMIF('(backend scoring)'!$B$3:$B$333,$K27,'(backend scoring)'!$P$3:$P$333),"")</f>
        <v>250</v>
      </c>
      <c r="F27" s="152">
        <f t="shared" si="0"/>
        <v>0.8928571428571429</v>
      </c>
      <c r="G27" s="230" t="str">
        <f t="shared" si="1"/>
        <v>Jump to  Data</v>
      </c>
      <c r="H27" s="126"/>
      <c r="I27" s="130"/>
      <c r="K27" s="91" t="s">
        <v>949</v>
      </c>
    </row>
    <row r="28" spans="1:11" s="91" customFormat="1" ht="40.5" customHeight="1" x14ac:dyDescent="0.3">
      <c r="B28" s="92" t="str">
        <f>VLOOKUP($K28,'Auto Responses'!$N$4:$O$38,2,0)&amp;""</f>
        <v xml:space="preserve"> Application/Service Security</v>
      </c>
      <c r="C28" s="124" t="b">
        <v>1</v>
      </c>
      <c r="D28" s="118">
        <f>IF($C28=TRUE,SUMIF('(backend scoring)'!$B$3:$B$333,$K28,'(backend scoring)'!$O$3:$O$333),"")</f>
        <v>200</v>
      </c>
      <c r="E28" s="125">
        <f>IF($C28=TRUE,SUMIF('(backend scoring)'!$B$3:$B$333,$K28,'(backend scoring)'!$P$3:$P$333),"")</f>
        <v>200</v>
      </c>
      <c r="F28" s="152">
        <f t="shared" si="0"/>
        <v>1</v>
      </c>
      <c r="G28" s="230" t="str">
        <f t="shared" si="1"/>
        <v>Jump to  Application/Service Security</v>
      </c>
      <c r="H28" s="126"/>
      <c r="I28" s="130"/>
      <c r="K28" s="91" t="s">
        <v>944</v>
      </c>
    </row>
    <row r="29" spans="1:11" s="91" customFormat="1" ht="40.5" customHeight="1" x14ac:dyDescent="0.3">
      <c r="B29" s="92" t="str">
        <f>VLOOKUP($K29,'Auto Responses'!$N$4:$O$38,2,0)&amp;""</f>
        <v xml:space="preserve"> Datacenter</v>
      </c>
      <c r="C29" s="124" t="b">
        <v>1</v>
      </c>
      <c r="D29" s="118">
        <f>IF($C29=TRUE,SUMIF('(backend scoring)'!$B$3:$B$333,$K29,'(backend scoring)'!$O$3:$O$333),"")</f>
        <v>60</v>
      </c>
      <c r="E29" s="125">
        <f>IF($C29=TRUE,SUMIF('(backend scoring)'!$B$3:$B$333,$K29,'(backend scoring)'!$P$3:$P$333),"")</f>
        <v>40</v>
      </c>
      <c r="F29" s="152">
        <f t="shared" si="0"/>
        <v>0.66666666666666663</v>
      </c>
      <c r="G29" s="230" t="str">
        <f t="shared" si="1"/>
        <v>Jump to  Datacenter</v>
      </c>
      <c r="H29" s="126"/>
      <c r="I29" s="130"/>
      <c r="K29" s="91" t="s">
        <v>951</v>
      </c>
    </row>
    <row r="30" spans="1:11" s="91" customFormat="1" ht="40.5" customHeight="1" x14ac:dyDescent="0.3">
      <c r="B30" s="92" t="str">
        <f>VLOOKUP($K30,'Auto Responses'!$N$4:$O$38,2,0)&amp;""</f>
        <v xml:space="preserve"> Firewalls, IDS, IPS, and Networking</v>
      </c>
      <c r="C30" s="124" t="b">
        <v>1</v>
      </c>
      <c r="D30" s="118">
        <f>IF($C30=TRUE,SUMIF('(backend scoring)'!$B$3:$B$333,$K30,'(backend scoring)'!$O$3:$O$333),"")</f>
        <v>145</v>
      </c>
      <c r="E30" s="125">
        <f>IF($C30=TRUE,SUMIF('(backend scoring)'!$B$3:$B$333,$K30,'(backend scoring)'!$P$3:$P$333),"")</f>
        <v>145</v>
      </c>
      <c r="F30" s="152">
        <f t="shared" si="0"/>
        <v>1</v>
      </c>
      <c r="G30" s="230" t="str">
        <f t="shared" si="1"/>
        <v>Jump to  Firewalls, IDS, IPS, and Networking</v>
      </c>
      <c r="H30" s="126"/>
      <c r="I30" s="130"/>
      <c r="K30" s="91" t="s">
        <v>953</v>
      </c>
    </row>
    <row r="31" spans="1:11" s="91" customFormat="1" ht="40.5" customHeight="1" x14ac:dyDescent="0.3">
      <c r="B31" s="92" t="str">
        <f>VLOOKUP($K31,'Auto Responses'!$N$4:$O$38,2,0)&amp;""</f>
        <v xml:space="preserve"> Incident Handling</v>
      </c>
      <c r="C31" s="124" t="b">
        <v>1</v>
      </c>
      <c r="D31" s="118">
        <f>IF($C31=TRUE,SUMIF('(backend scoring)'!$B$3:$B$333,$K31,'(backend scoring)'!$O$3:$O$333),"")</f>
        <v>25</v>
      </c>
      <c r="E31" s="125">
        <f>IF($C31=TRUE,SUMIF('(backend scoring)'!$B$3:$B$333,$K31,'(backend scoring)'!$P$3:$P$333),"")</f>
        <v>25</v>
      </c>
      <c r="F31" s="152">
        <f t="shared" si="0"/>
        <v>1</v>
      </c>
      <c r="G31" s="230" t="str">
        <f t="shared" si="1"/>
        <v>Jump to  Incident Handling</v>
      </c>
      <c r="H31" s="126"/>
      <c r="I31" s="130"/>
      <c r="K31" s="91" t="s">
        <v>956</v>
      </c>
    </row>
    <row r="32" spans="1:11" s="91" customFormat="1" ht="40.5" customHeight="1" x14ac:dyDescent="0.3">
      <c r="B32" s="92" t="str">
        <f>VLOOKUP($K32,'Auto Responses'!$N$4:$O$38,2,0)&amp;""</f>
        <v xml:space="preserve"> Vulnerability Management</v>
      </c>
      <c r="C32" s="124" t="b">
        <v>1</v>
      </c>
      <c r="D32" s="118">
        <f>IF($C32=TRUE,SUMIF('(backend scoring)'!$B$3:$B$333,$K32,'(backend scoring)'!$O$3:$O$333),"")</f>
        <v>85</v>
      </c>
      <c r="E32" s="125">
        <f>IF($C32=TRUE,SUMIF('(backend scoring)'!$B$3:$B$333,$K32,'(backend scoring)'!$P$3:$P$333),"")</f>
        <v>35</v>
      </c>
      <c r="F32" s="152">
        <f t="shared" si="0"/>
        <v>0.41176470588235292</v>
      </c>
      <c r="G32" s="230" t="str">
        <f t="shared" si="1"/>
        <v>Jump to  Vulnerability Management</v>
      </c>
      <c r="H32" s="126"/>
      <c r="I32" s="130"/>
      <c r="K32" s="91" t="s">
        <v>958</v>
      </c>
    </row>
    <row r="33" spans="1:13" s="91" customFormat="1" ht="40.5" customHeight="1" x14ac:dyDescent="0.3">
      <c r="B33" s="92" t="str">
        <f>VLOOKUP($K33,'Auto Responses'!$N$4:$O$38,2,0)&amp;""</f>
        <v xml:space="preserve"> Consulting Services</v>
      </c>
      <c r="C33" s="124" t="b">
        <v>1</v>
      </c>
      <c r="D33" s="118">
        <f>IF($C33=TRUE,SUMIF('(backend scoring)'!$B$3:$B$333,$K33,'(backend scoring)'!$O$3:$O$333),"")</f>
        <v>0</v>
      </c>
      <c r="E33" s="125">
        <f>IF($C33=TRUE,SUMIF('(backend scoring)'!$B$3:$B$333,$K33,'(backend scoring)'!$P$3:$P$333),"")</f>
        <v>0</v>
      </c>
      <c r="F33" s="152" t="str">
        <f t="shared" si="0"/>
        <v>N/A</v>
      </c>
      <c r="G33" s="230" t="str">
        <f t="shared" si="1"/>
        <v>Jump to  Consulting Services</v>
      </c>
      <c r="H33" s="126"/>
      <c r="I33" s="130"/>
      <c r="K33" s="91" t="s">
        <v>942</v>
      </c>
    </row>
    <row r="34" spans="1:13" s="91" customFormat="1" ht="40.5" customHeight="1" x14ac:dyDescent="0.3">
      <c r="B34" s="92" t="str">
        <f>VLOOKUP($K34,'Auto Responses'!$N$4:$O$38,2,0)&amp;""</f>
        <v xml:space="preserve">HIPAA Compliance </v>
      </c>
      <c r="C34" s="124" t="b">
        <v>1</v>
      </c>
      <c r="D34" s="118">
        <f>IF($C34=TRUE,SUMIF('(backend scoring)'!$B$3:$B$333,$K34,'(backend scoring)'!$O$3:$O$333),"")</f>
        <v>0</v>
      </c>
      <c r="E34" s="125">
        <f>IF($C34=TRUE,SUMIF('(backend scoring)'!$B$3:$B$333,$K34,'(backend scoring)'!$P$3:$P$333),"")</f>
        <v>0</v>
      </c>
      <c r="F34" s="152" t="str">
        <f t="shared" si="0"/>
        <v>N/A</v>
      </c>
      <c r="G34" s="230" t="str">
        <f t="shared" si="1"/>
        <v xml:space="preserve">Jump to HIPAA Compliance </v>
      </c>
      <c r="H34" s="126"/>
      <c r="I34" s="130"/>
      <c r="K34" s="91" t="s">
        <v>960</v>
      </c>
    </row>
    <row r="35" spans="1:13" s="91" customFormat="1" ht="40.5" customHeight="1" x14ac:dyDescent="0.3">
      <c r="B35" s="92" t="str">
        <f>VLOOKUP($K35,'Auto Responses'!$N$4:$O$38,2,0)&amp;""</f>
        <v xml:space="preserve"> Payment Card Industry Data Security Standard (PCI DSS)</v>
      </c>
      <c r="C35" s="124" t="b">
        <v>1</v>
      </c>
      <c r="D35" s="118">
        <f>IF($C35=TRUE,SUMIF('(backend scoring)'!$B$3:$B$333,$K35,'(backend scoring)'!$O$3:$O$333),"")</f>
        <v>0</v>
      </c>
      <c r="E35" s="125">
        <f>IF($C35=TRUE,SUMIF('(backend scoring)'!$B$3:$B$333,$K35,'(backend scoring)'!$P$3:$P$333),"")</f>
        <v>0</v>
      </c>
      <c r="F35" s="152" t="str">
        <f t="shared" si="0"/>
        <v>N/A</v>
      </c>
      <c r="G35" s="230" t="str">
        <f t="shared" si="1"/>
        <v>Jump to  Payment Card Industry Data Security Standard (PCI DSS)</v>
      </c>
      <c r="H35" s="126"/>
      <c r="I35" s="130"/>
      <c r="K35" s="91" t="s">
        <v>961</v>
      </c>
    </row>
    <row r="36" spans="1:13" s="91" customFormat="1" ht="40.5" customHeight="1" x14ac:dyDescent="0.3">
      <c r="B36" s="92" t="str">
        <f>VLOOKUP($K36,'Auto Responses'!$N$4:$O$38,2,0)&amp;""</f>
        <v xml:space="preserve"> On-Premises Data Solutions</v>
      </c>
      <c r="C36" s="124" t="b">
        <v>1</v>
      </c>
      <c r="D36" s="118">
        <f>IF($C36=TRUE,SUMIF('(backend scoring)'!$B$3:$B$333,$K36,'(backend scoring)'!$O$3:$O$333),"")</f>
        <v>0</v>
      </c>
      <c r="E36" s="125">
        <f>IF($C36=TRUE,SUMIF('(backend scoring)'!$B$3:$B$333,$K36,'(backend scoring)'!$P$3:$P$333),"")</f>
        <v>0</v>
      </c>
      <c r="F36" s="152" t="str">
        <f t="shared" si="0"/>
        <v>N/A</v>
      </c>
      <c r="G36" s="230" t="str">
        <f t="shared" si="1"/>
        <v>Jump to  On-Premises Data Solutions</v>
      </c>
      <c r="H36" s="126"/>
      <c r="I36" s="130"/>
      <c r="K36" s="91" t="s">
        <v>962</v>
      </c>
    </row>
    <row r="37" spans="1:13" s="91" customFormat="1" ht="40.5" customHeight="1" x14ac:dyDescent="0.3">
      <c r="B37" s="92" t="str">
        <f>VLOOKUP($K37,'Auto Responses'!$N$4:$O$38,2,0)&amp;""</f>
        <v xml:space="preserve"> IT Accessibility</v>
      </c>
      <c r="C37" s="124" t="b">
        <v>1</v>
      </c>
      <c r="D37" s="118">
        <f>IF($C37=TRUE,SUMIF('(backend scoring)'!$B$3:$B$333,$K37,'(backend scoring)'!$O$3:$O$333),"")</f>
        <v>170</v>
      </c>
      <c r="E37" s="125">
        <f>IF($C37=TRUE,SUMIF('(backend scoring)'!$B$3:$B$333,$K37,'(backend scoring)'!$P$3:$P$333),"")</f>
        <v>150</v>
      </c>
      <c r="F37" s="152">
        <f t="shared" si="0"/>
        <v>0.88235294117647056</v>
      </c>
      <c r="G37" s="230" t="str">
        <f t="shared" ref="G37" si="2">"Jump to "&amp;B37</f>
        <v>Jump to  IT Accessibility</v>
      </c>
      <c r="H37" s="126"/>
      <c r="I37" s="130"/>
      <c r="K37" s="91" t="s">
        <v>938</v>
      </c>
    </row>
    <row r="38" spans="1:13" s="91" customFormat="1" ht="40.5" customHeight="1" x14ac:dyDescent="0.3">
      <c r="B38" s="92" t="s">
        <v>1111</v>
      </c>
      <c r="C38" s="124" t="b">
        <v>1</v>
      </c>
      <c r="D38" s="158">
        <f>IF($C38=TRUE,SUMIF('(backend scoring)'!$E$3:$E$333,"AI",'(backend scoring)'!$O$3:$O$333),"")</f>
        <v>0</v>
      </c>
      <c r="E38" s="158">
        <f>IF($C38=TRUE,SUMIF('(backend scoring)'!$E$3:$E$333,"AI",'(backend scoring)'!$P$3:$P$333),"")</f>
        <v>0</v>
      </c>
      <c r="F38" s="152" t="str">
        <f t="shared" si="0"/>
        <v>N/A</v>
      </c>
      <c r="G38" s="230" t="str">
        <f>"Jump to AI Questions"</f>
        <v>Jump to AI Questions</v>
      </c>
      <c r="H38" s="126"/>
      <c r="I38" s="130"/>
    </row>
    <row r="39" spans="1:13" s="91" customFormat="1" ht="40.5" customHeight="1" thickBot="1" x14ac:dyDescent="0.35">
      <c r="B39" s="154" t="s">
        <v>1112</v>
      </c>
      <c r="C39" s="155" t="b">
        <v>1</v>
      </c>
      <c r="D39" s="156">
        <f>IF($C39=TRUE,SUMIF('(backend scoring)'!$E$3:$E$333,"Privacy",'(backend scoring)'!$O$3:$O$333),"")</f>
        <v>565</v>
      </c>
      <c r="E39" s="156">
        <f>IF($C39=TRUE,SUMIF('(backend scoring)'!$E$3:$E$333,"Privacy",'(backend scoring)'!$P$3:$P$333),"")</f>
        <v>380</v>
      </c>
      <c r="F39" s="157">
        <f t="shared" si="0"/>
        <v>0.67256637168141598</v>
      </c>
      <c r="G39" s="231" t="str">
        <f>"Jump to Privacy Scorecard"</f>
        <v>Jump to Privacy Scorecard</v>
      </c>
      <c r="H39" s="128"/>
      <c r="I39" s="131"/>
    </row>
    <row r="40" spans="1:13" s="91" customFormat="1" ht="30" customHeight="1" thickBot="1" x14ac:dyDescent="0.3">
      <c r="B40" s="90" t="s">
        <v>1000</v>
      </c>
      <c r="C40" s="117"/>
      <c r="D40" s="119">
        <f>SUM(D21:D39)</f>
        <v>2285</v>
      </c>
      <c r="E40" s="119">
        <f>SUM(E21:E39)</f>
        <v>1930</v>
      </c>
      <c r="F40" s="88">
        <f>IFERROR(E40/D40,"N/A")</f>
        <v>0.84463894967177244</v>
      </c>
      <c r="G40" s="135"/>
      <c r="H40" s="136"/>
      <c r="I40" s="137"/>
      <c r="J40" s="255" t="s">
        <v>1531</v>
      </c>
    </row>
    <row r="41" spans="1:13" ht="15" x14ac:dyDescent="0.3">
      <c r="F41" s="62" t="s">
        <v>999</v>
      </c>
    </row>
    <row r="42" spans="1:13" ht="15" x14ac:dyDescent="0.3"/>
    <row r="43" spans="1:13" ht="15" customHeight="1" x14ac:dyDescent="0.3"/>
    <row r="44" spans="1:13" s="30" customFormat="1" ht="36" customHeight="1" x14ac:dyDescent="0.25">
      <c r="A44" s="182" t="s">
        <v>926</v>
      </c>
      <c r="B44" s="182"/>
      <c r="C44" s="186"/>
      <c r="D44" s="182"/>
      <c r="E44" s="182"/>
      <c r="F44" s="182"/>
      <c r="G44" s="182"/>
      <c r="H44" s="182"/>
      <c r="I44" s="182"/>
      <c r="J44" s="182"/>
      <c r="K44" s="182"/>
      <c r="L44" s="62"/>
      <c r="M44" s="1"/>
    </row>
    <row r="45" spans="1:13" s="30" customFormat="1" ht="36" customHeight="1" x14ac:dyDescent="0.25">
      <c r="A45" s="31" t="s">
        <v>906</v>
      </c>
      <c r="B45" s="31"/>
      <c r="C45" s="76"/>
      <c r="D45" s="31"/>
      <c r="E45" s="31"/>
      <c r="F45" s="31"/>
      <c r="G45" s="31"/>
      <c r="H45" s="31"/>
      <c r="I45" s="31"/>
      <c r="J45" s="31"/>
      <c r="K45" s="31"/>
      <c r="L45" s="62"/>
      <c r="M45" s="1"/>
    </row>
    <row r="46" spans="1:13" s="1" customFormat="1" ht="36" customHeight="1" x14ac:dyDescent="0.25">
      <c r="A46" s="17" t="s">
        <v>922</v>
      </c>
      <c r="B46" s="18"/>
      <c r="C46" s="19"/>
      <c r="D46" s="20"/>
      <c r="E46" s="20"/>
      <c r="F46" s="21"/>
      <c r="G46" s="21"/>
      <c r="H46" s="21"/>
      <c r="I46" s="21"/>
      <c r="J46" s="21"/>
      <c r="K46" s="21"/>
      <c r="L46" s="62"/>
    </row>
    <row r="47" spans="1:13" s="1" customFormat="1" ht="19.5" customHeight="1" x14ac:dyDescent="0.25">
      <c r="A47" s="269" t="str">
        <f>HLOOKUP($A$4,'Auto Responses'!$F$2:$F$7,2,0)&amp;""</f>
        <v>1. Upon initial review, you can check the "Non-Negotiable" box by any question to compile a report of questions that may prohibit a full review.</v>
      </c>
      <c r="B47" s="68"/>
      <c r="C47" s="68"/>
      <c r="D47" s="68"/>
      <c r="E47" s="68"/>
      <c r="F47" s="68"/>
      <c r="G47" s="68"/>
      <c r="H47" s="68"/>
      <c r="I47" s="68"/>
      <c r="J47" s="68"/>
      <c r="K47" s="22"/>
      <c r="L47" s="62"/>
    </row>
    <row r="48" spans="1:13" s="1" customFormat="1" ht="19.5" customHeight="1" x14ac:dyDescent="0.25">
      <c r="A48" s="269" t="str">
        <f>HLOOKUP($A$4,'Auto Responses'!$F$2:$F$7,3,0)&amp;""</f>
        <v>2. When evaluating an answer, a default importance level has been set. You can use the "Importance Override" dropdown to override the default and adjust the value of the question.</v>
      </c>
      <c r="B48" s="68"/>
      <c r="C48" s="68"/>
      <c r="D48" s="68"/>
      <c r="E48" s="68"/>
      <c r="F48" s="68"/>
      <c r="G48" s="68"/>
      <c r="H48" s="68"/>
      <c r="I48" s="68"/>
      <c r="J48" s="68"/>
      <c r="K48" s="22"/>
      <c r="L48" s="62"/>
    </row>
    <row r="49" spans="1:13" s="1" customFormat="1" ht="19.5" customHeight="1" x14ac:dyDescent="0.25">
      <c r="A49" s="269" t="str">
        <f>HLOOKUP($A$4,'Auto Responses'!$F$2:$F$7,4,0)&amp;""</f>
        <v>3. For questions that are qualitative or for which you disagree with the preferred response, make a selection in the "Compliant Override" dropdown to adjust the question's impact on the score.</v>
      </c>
      <c r="B49" s="68"/>
      <c r="C49" s="68"/>
      <c r="D49" s="68"/>
      <c r="E49" s="68"/>
      <c r="F49" s="68"/>
      <c r="G49" s="68"/>
      <c r="H49" s="68"/>
      <c r="I49" s="68"/>
      <c r="J49" s="68"/>
      <c r="K49" s="22"/>
      <c r="L49" s="62"/>
    </row>
    <row r="50" spans="1:13" s="1" customFormat="1" ht="19.5" customHeight="1" x14ac:dyDescent="0.25">
      <c r="A50" s="269" t="str">
        <f>HLOOKUP($A$4,'Auto Responses'!$F$2:$F$7,5,0)&amp;""</f>
        <v xml:space="preserve">4. Each worksheet shows a report for that section. See the "Analyst Report" sheet for a full report of all sections. </v>
      </c>
      <c r="B50" s="68"/>
      <c r="C50" s="68"/>
      <c r="D50" s="68"/>
      <c r="E50" s="68"/>
      <c r="F50" s="68"/>
      <c r="G50" s="68"/>
      <c r="H50" s="68"/>
      <c r="I50" s="68"/>
      <c r="J50" s="68"/>
      <c r="K50" s="22"/>
      <c r="L50" s="62"/>
    </row>
    <row r="51" spans="1:13" s="1" customFormat="1" ht="19.5" customHeight="1" x14ac:dyDescent="0.25">
      <c r="A51" s="269" t="str">
        <f>HLOOKUP($A$4,'Auto Responses'!$F$2:$F$7,6,0)&amp;""</f>
        <v xml:space="preserve">5. If you are evaluating a question that appears in an earlier section, the Importance and Compliant Override cannot be changed but additional notes can be added. </v>
      </c>
      <c r="B51" s="68"/>
      <c r="C51" s="68"/>
      <c r="D51" s="68"/>
      <c r="E51" s="68"/>
      <c r="F51" s="68"/>
      <c r="G51" s="68"/>
      <c r="H51" s="68"/>
      <c r="I51" s="68"/>
      <c r="J51" s="68"/>
      <c r="K51" s="22"/>
      <c r="L51" s="62"/>
    </row>
    <row r="52" spans="1:13" s="1" customFormat="1" ht="19.5" customHeight="1" thickBot="1" x14ac:dyDescent="0.3">
      <c r="A52" s="270" t="str">
        <f>HLOOKUP($A$4,'Auto Responses'!$F$2:$F$8,7,0)&amp;""</f>
        <v>For full instructions, please visit EDUCAUSE.edu/HECVAT</v>
      </c>
      <c r="B52" s="68"/>
      <c r="C52" s="68"/>
      <c r="D52" s="68"/>
      <c r="E52" s="68"/>
      <c r="F52" s="68"/>
      <c r="G52" s="68"/>
      <c r="H52" s="68"/>
      <c r="I52" s="68"/>
      <c r="J52" s="68"/>
      <c r="K52" s="22"/>
      <c r="L52" s="62"/>
    </row>
    <row r="53" spans="1:13" s="30" customFormat="1" ht="41.25" customHeight="1" thickBot="1" x14ac:dyDescent="0.3">
      <c r="A53" s="32"/>
      <c r="B53" s="32"/>
      <c r="C53" s="77"/>
      <c r="D53" s="32"/>
      <c r="E53" s="32"/>
      <c r="F53" s="196" t="s">
        <v>905</v>
      </c>
      <c r="G53" s="189" t="s">
        <v>1093</v>
      </c>
      <c r="H53" s="190"/>
      <c r="I53" s="190"/>
      <c r="J53" s="190"/>
      <c r="K53" s="190"/>
      <c r="L53" s="62"/>
      <c r="M53" s="1"/>
    </row>
    <row r="54" spans="1:13" s="36" customFormat="1" ht="63" customHeight="1" thickBot="1" x14ac:dyDescent="0.3">
      <c r="A54" s="33" t="s">
        <v>907</v>
      </c>
      <c r="B54" s="34" t="s">
        <v>1</v>
      </c>
      <c r="C54" s="34" t="s">
        <v>1583</v>
      </c>
      <c r="D54" s="35" t="s">
        <v>72</v>
      </c>
      <c r="E54" s="327" t="s">
        <v>904</v>
      </c>
      <c r="F54" s="197" t="s">
        <v>1550</v>
      </c>
      <c r="G54" s="53" t="s">
        <v>925</v>
      </c>
      <c r="H54" s="50" t="s">
        <v>927</v>
      </c>
      <c r="I54" s="50" t="s">
        <v>19</v>
      </c>
      <c r="J54" s="51" t="s">
        <v>912</v>
      </c>
      <c r="K54" s="54" t="s">
        <v>923</v>
      </c>
      <c r="L54" s="62"/>
      <c r="M54" s="1"/>
    </row>
    <row r="55" spans="1:13" s="1" customFormat="1" ht="17.5" x14ac:dyDescent="0.25">
      <c r="A55" s="70" t="str">
        <f>VLOOKUP(LEFT($A56,4),'Auto Responses'!$N$4:$O$38,2,0)&amp;""</f>
        <v xml:space="preserve"> General Information</v>
      </c>
      <c r="B55" s="29"/>
      <c r="C55" s="38"/>
      <c r="D55" s="38"/>
      <c r="E55" s="350"/>
      <c r="F55" s="139" t="s">
        <v>1089</v>
      </c>
      <c r="G55" s="38"/>
      <c r="H55" s="38"/>
      <c r="I55" s="38"/>
      <c r="J55" s="38"/>
      <c r="K55" s="38"/>
      <c r="L55" s="62"/>
    </row>
    <row r="56" spans="1:13" s="36" customFormat="1" ht="15" x14ac:dyDescent="0.25">
      <c r="A56" s="25" t="str">
        <f>'START HERE'!$A$13</f>
        <v>GNRL-01</v>
      </c>
      <c r="B56" s="26" t="str">
        <f>VLOOKUP($A56,'START HERE'!$A$13:$E$36,2,0)&amp;""</f>
        <v>Solution Provider Name</v>
      </c>
      <c r="C56" s="322" t="str">
        <f>VLOOKUP($A56,'START HERE'!$A$13:$E$36,3,0)&amp;""</f>
        <v xml:space="preserve">Cirrus Identity </v>
      </c>
      <c r="D56" s="325" t="str">
        <f>IF(LEFT(VLOOKUP($A56,'START HERE'!$A$13:$E$36,5,0),21)='Auto Responses'!$A$73,'Auto Responses'!$A$74,VLOOKUP($A56,'START HERE'!$A$13:$E$36,4,0))&amp;""</f>
        <v/>
      </c>
      <c r="E56" s="349" t="str">
        <f>VLOOKUP($A56,'START HERE'!$A$13:$E$36,5,0)&amp;""</f>
        <v/>
      </c>
      <c r="F56" s="199"/>
      <c r="G56" s="37" t="str">
        <f>VLOOKUP($A56,Questions!$A$2:$X$333,21,0)&amp;""</f>
        <v>Not scored</v>
      </c>
      <c r="H56" s="192"/>
      <c r="I56" s="52" t="str">
        <f>VLOOKUP($A56,Questions!$A$2:$X$333,23,0)&amp;""</f>
        <v/>
      </c>
      <c r="J56" s="192"/>
      <c r="K56" s="82"/>
      <c r="L56" s="62"/>
      <c r="M56" s="1"/>
    </row>
    <row r="57" spans="1:13" s="36" customFormat="1" ht="15" x14ac:dyDescent="0.25">
      <c r="A57" s="25" t="str">
        <f>'START HERE'!$A$14</f>
        <v>GNRL-02</v>
      </c>
      <c r="B57" s="26" t="str">
        <f>VLOOKUP($A57,'START HERE'!$A$13:$E$36,2,0)&amp;""</f>
        <v>Solution Name</v>
      </c>
      <c r="C57" s="322" t="str">
        <f>VLOOKUP($A57,'START HERE'!$A$13:$E$36,3,0)&amp;""</f>
        <v>Cirrus Identity Gateway, Cirrus Identity Proxy, Cirrus Identity Bridge, Cirrus Identity Attribute Authority, Cirrus Identity Invitation, Cirrus Identity Account Linking, Cirrus Identity OrgBrandedID, and Cirrus Identity MFA -- Collective referred to as Cirrus Identity Products</v>
      </c>
      <c r="D57" s="325" t="str">
        <f>IF(LEFT(VLOOKUP($A57,'START HERE'!$A$13:$E$36,5,0),21)='Auto Responses'!$A$73,'Auto Responses'!$A$74,VLOOKUP($A57,'START HERE'!$A$13:$E$36,4,0))&amp;""</f>
        <v/>
      </c>
      <c r="E57" s="349" t="str">
        <f>VLOOKUP($A57,'START HERE'!$A$13:$E$36,5,0)&amp;""</f>
        <v/>
      </c>
      <c r="F57" s="199"/>
      <c r="G57" s="37" t="str">
        <f>VLOOKUP($A57,Questions!$A$2:$X$333,21,0)&amp;""</f>
        <v>Not scored</v>
      </c>
      <c r="H57" s="192"/>
      <c r="I57" s="52" t="str">
        <f>VLOOKUP($A57,Questions!$A$2:$X$333,23,0)&amp;""</f>
        <v/>
      </c>
      <c r="J57" s="192"/>
      <c r="K57" s="82"/>
      <c r="L57" s="62"/>
      <c r="M57" s="1"/>
    </row>
    <row r="58" spans="1:13" s="36" customFormat="1" ht="15" x14ac:dyDescent="0.25">
      <c r="A58" s="25" t="str">
        <f>'START HERE'!$A$15</f>
        <v>GNRL-03</v>
      </c>
      <c r="B58" s="26" t="str">
        <f>VLOOKUP($A58,'START HERE'!$A$13:$E$36,2,0)&amp;""</f>
        <v>Solution Description</v>
      </c>
      <c r="C58" s="322" t="str">
        <f>VLOOKUP($A58,'START HERE'!$A$13:$E$36,3,0)&amp;""</f>
        <v>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v>
      </c>
      <c r="D58" s="325" t="str">
        <f>IF(LEFT(VLOOKUP($A58,'START HERE'!$A$13:$E$36,5,0),21)='Auto Responses'!$A$73,'Auto Responses'!$A$74,VLOOKUP($A58,'START HERE'!$A$13:$E$36,4,0))&amp;""</f>
        <v/>
      </c>
      <c r="E58" s="349" t="str">
        <f>VLOOKUP($A58,'START HERE'!$A$13:$E$36,5,0)&amp;""</f>
        <v/>
      </c>
      <c r="F58" s="199"/>
      <c r="G58" s="37" t="str">
        <f>VLOOKUP($A58,Questions!$A$2:$X$333,21,0)&amp;""</f>
        <v>Not scored</v>
      </c>
      <c r="H58" s="192"/>
      <c r="I58" s="52" t="str">
        <f>VLOOKUP($A58,Questions!$A$2:$X$333,23,0)&amp;""</f>
        <v/>
      </c>
      <c r="J58" s="192"/>
      <c r="K58" s="82"/>
      <c r="L58" s="62"/>
      <c r="M58" s="1"/>
    </row>
    <row r="59" spans="1:13" s="36" customFormat="1" ht="15" x14ac:dyDescent="0.25">
      <c r="A59" s="25" t="str">
        <f>'START HERE'!$A$16</f>
        <v>GNRL-04</v>
      </c>
      <c r="B59" s="26" t="str">
        <f>VLOOKUP($A59,'START HERE'!$A$13:$E$36,2,0)&amp;""</f>
        <v>Solution Provider Contact Name</v>
      </c>
      <c r="C59" s="322" t="str">
        <f>VLOOKUP($A59,'START HERE'!$A$13:$E$36,3,0)&amp;""</f>
        <v xml:space="preserve">Mark Rank </v>
      </c>
      <c r="D59" s="325" t="str">
        <f>IF(LEFT(VLOOKUP($A59,'START HERE'!$A$13:$E$36,5,0),21)='Auto Responses'!$A$73,'Auto Responses'!$A$74,VLOOKUP($A59,'START HERE'!$A$13:$E$36,4,0))&amp;""</f>
        <v/>
      </c>
      <c r="E59" s="349" t="str">
        <f>VLOOKUP($A59,'START HERE'!$A$13:$E$36,5,0)&amp;""</f>
        <v/>
      </c>
      <c r="F59" s="199"/>
      <c r="G59" s="37" t="str">
        <f>VLOOKUP($A59,Questions!$A$2:$X$333,21,0)&amp;""</f>
        <v>Not scored</v>
      </c>
      <c r="H59" s="192"/>
      <c r="I59" s="52" t="str">
        <f>VLOOKUP($A59,Questions!$A$2:$X$333,23,0)&amp;""</f>
        <v/>
      </c>
      <c r="J59" s="192"/>
      <c r="K59" s="82"/>
      <c r="L59" s="62"/>
      <c r="M59" s="1"/>
    </row>
    <row r="60" spans="1:13" s="36" customFormat="1" ht="15" x14ac:dyDescent="0.25">
      <c r="A60" s="25" t="str">
        <f>'START HERE'!$A$17</f>
        <v>GNRL-05</v>
      </c>
      <c r="B60" s="26" t="str">
        <f>VLOOKUP($A60,'START HERE'!$A$13:$E$36,2,0)&amp;""</f>
        <v>Solution Provider Contact Title</v>
      </c>
      <c r="C60" s="322" t="str">
        <f>VLOOKUP($A60,'START HERE'!$A$13:$E$36,3,0)&amp;""</f>
        <v>Director of Compliance and Strategic Insights</v>
      </c>
      <c r="D60" s="325" t="str">
        <f>IF(LEFT(VLOOKUP($A60,'START HERE'!$A$13:$E$36,5,0),21)='Auto Responses'!$A$73,'Auto Responses'!$A$74,VLOOKUP($A60,'START HERE'!$A$13:$E$36,4,0))&amp;""</f>
        <v/>
      </c>
      <c r="E60" s="349" t="str">
        <f>VLOOKUP($A60,'START HERE'!$A$13:$E$36,5,0)&amp;""</f>
        <v/>
      </c>
      <c r="F60" s="199"/>
      <c r="G60" s="37" t="str">
        <f>VLOOKUP($A60,Questions!$A$2:$X$333,21,0)&amp;""</f>
        <v>Not scored</v>
      </c>
      <c r="H60" s="192"/>
      <c r="I60" s="52" t="str">
        <f>VLOOKUP($A60,Questions!$A$2:$X$333,23,0)&amp;""</f>
        <v/>
      </c>
      <c r="J60" s="192"/>
      <c r="K60" s="82"/>
      <c r="L60" s="62"/>
      <c r="M60" s="1"/>
    </row>
    <row r="61" spans="1:13" s="36" customFormat="1" ht="15" x14ac:dyDescent="0.25">
      <c r="A61" s="25" t="str">
        <f>'START HERE'!$A$18</f>
        <v>GNRL-06</v>
      </c>
      <c r="B61" s="26" t="str">
        <f>VLOOKUP($A61,'START HERE'!$A$13:$E$36,2,0)&amp;""</f>
        <v>Solution Provider Contact Email</v>
      </c>
      <c r="C61" s="322" t="str">
        <f>VLOOKUP($A61,'START HERE'!$A$13:$E$36,3,0)&amp;""</f>
        <v>mark.rank@cirrusidentity.com</v>
      </c>
      <c r="D61" s="325" t="str">
        <f>IF(LEFT(VLOOKUP($A61,'START HERE'!$A$13:$E$36,5,0),21)='Auto Responses'!$A$73,'Auto Responses'!$A$74,VLOOKUP($A61,'START HERE'!$A$13:$E$36,4,0))&amp;""</f>
        <v/>
      </c>
      <c r="E61" s="349" t="str">
        <f>VLOOKUP($A61,'START HERE'!$A$13:$E$36,5,0)&amp;""</f>
        <v/>
      </c>
      <c r="F61" s="199"/>
      <c r="G61" s="37" t="str">
        <f>VLOOKUP($A61,Questions!$A$2:$X$333,21,0)&amp;""</f>
        <v>Not scored</v>
      </c>
      <c r="H61" s="192"/>
      <c r="I61" s="52" t="str">
        <f>VLOOKUP($A61,Questions!$A$2:$X$333,23,0)&amp;""</f>
        <v/>
      </c>
      <c r="J61" s="192"/>
      <c r="K61" s="82"/>
      <c r="L61" s="62"/>
      <c r="M61" s="1"/>
    </row>
    <row r="62" spans="1:13" s="36" customFormat="1" ht="15" x14ac:dyDescent="0.25">
      <c r="A62" s="25" t="str">
        <f>'START HERE'!$A$19</f>
        <v>GNRL-07</v>
      </c>
      <c r="B62" s="26" t="str">
        <f>VLOOKUP($A62,'START HERE'!$A$13:$E$36,2,0)&amp;""</f>
        <v>Solution Provider Contact Phone Number</v>
      </c>
      <c r="C62" s="322" t="str">
        <f>VLOOKUP($A62,'START HERE'!$A$13:$E$36,3,0)&amp;""</f>
        <v>414-331-1476</v>
      </c>
      <c r="D62" s="325" t="str">
        <f>IF(LEFT(VLOOKUP($A62,'START HERE'!$A$13:$E$36,5,0),21)='Auto Responses'!$A$73,'Auto Responses'!$A$74,VLOOKUP($A62,'START HERE'!$A$13:$E$36,4,0))&amp;""</f>
        <v/>
      </c>
      <c r="E62" s="349" t="str">
        <f>VLOOKUP($A62,'START HERE'!$A$13:$E$36,5,0)&amp;""</f>
        <v/>
      </c>
      <c r="F62" s="199"/>
      <c r="G62" s="37" t="str">
        <f>VLOOKUP($A62,Questions!$A$2:$X$333,21,0)&amp;""</f>
        <v>Not scored</v>
      </c>
      <c r="H62" s="192"/>
      <c r="I62" s="52" t="str">
        <f>VLOOKUP($A62,Questions!$A$2:$X$333,23,0)&amp;""</f>
        <v/>
      </c>
      <c r="J62" s="192"/>
      <c r="K62" s="82"/>
      <c r="L62" s="62"/>
      <c r="M62" s="1"/>
    </row>
    <row r="63" spans="1:13" s="36" customFormat="1" ht="15" x14ac:dyDescent="0.25">
      <c r="A63" s="25" t="str">
        <f>'START HERE'!$A$20</f>
        <v>GNRL-08</v>
      </c>
      <c r="B63" s="26" t="str">
        <f>VLOOKUP($A63,'START HERE'!$A$13:$E$36,2,0)&amp;""</f>
        <v>Country of Company Headquarters</v>
      </c>
      <c r="C63" s="322" t="str">
        <f>VLOOKUP($A63,'START HERE'!$A$13:$E$36,3,0)&amp;""</f>
        <v>United States</v>
      </c>
      <c r="D63" s="325" t="str">
        <f>IF(LEFT(VLOOKUP($A63,'START HERE'!$A$13:$E$36,5,0),21)='Auto Responses'!$A$73,'Auto Responses'!$A$74,VLOOKUP($A63,'START HERE'!$A$13:$E$36,4,0))&amp;""</f>
        <v/>
      </c>
      <c r="E63" s="349" t="str">
        <f>VLOOKUP($A63,'START HERE'!$A$13:$E$36,5,0)&amp;""</f>
        <v/>
      </c>
      <c r="F63" s="199"/>
      <c r="G63" s="37" t="str">
        <f>VLOOKUP($A63,Questions!$A$2:$X$333,21,0)&amp;""</f>
        <v>Not scored</v>
      </c>
      <c r="H63" s="192"/>
      <c r="I63" s="52" t="str">
        <f>VLOOKUP($A63,Questions!$A$2:$X$333,23,0)&amp;""</f>
        <v/>
      </c>
      <c r="J63" s="192"/>
      <c r="K63" s="82"/>
      <c r="L63" s="62"/>
      <c r="M63" s="1"/>
    </row>
    <row r="64" spans="1:13" s="36" customFormat="1" ht="15" x14ac:dyDescent="0.25">
      <c r="A64" s="25" t="str">
        <f>'START HERE'!$A$21</f>
        <v>GNRL-09</v>
      </c>
      <c r="B64" s="26" t="str">
        <f>VLOOKUP($A64,'START HERE'!$A$13:$E$36,2,0)&amp;""</f>
        <v>Employee Work Locations (all)</v>
      </c>
      <c r="C64" s="322" t="str">
        <f>VLOOKUP($A64,'START HERE'!$A$13:$E$36,3,0)&amp;""</f>
        <v>United States, Canada, and EU</v>
      </c>
      <c r="D64" s="325" t="str">
        <f>IF(LEFT(VLOOKUP($A64,'START HERE'!$A$13:$E$36,5,0),21)='Auto Responses'!$A$73,'Auto Responses'!$A$74,VLOOKUP($A64,'START HERE'!$A$13:$E$36,4,0))&amp;""</f>
        <v/>
      </c>
      <c r="E64" s="349" t="str">
        <f>VLOOKUP($A64,'START HERE'!$A$13:$E$36,5,0)&amp;""</f>
        <v/>
      </c>
      <c r="F64" s="199"/>
      <c r="G64" s="37" t="str">
        <f>VLOOKUP($A64,Questions!$A$2:$X$333,21,0)&amp;""</f>
        <v>Not scored</v>
      </c>
      <c r="H64" s="192"/>
      <c r="I64" s="52" t="str">
        <f>VLOOKUP($A64,Questions!$A$2:$X$333,23,0)&amp;""</f>
        <v/>
      </c>
      <c r="J64" s="192"/>
      <c r="K64" s="82"/>
      <c r="L64" s="62"/>
      <c r="M64" s="1"/>
    </row>
    <row r="65" spans="1:13" s="1" customFormat="1" ht="17.5" x14ac:dyDescent="0.25">
      <c r="A65" s="70" t="str">
        <f>VLOOKUP(LEFT($A66,4),'Auto Responses'!$N$4:$O$38,2,0)&amp;""</f>
        <v xml:space="preserve"> Company Information</v>
      </c>
      <c r="B65" s="29"/>
      <c r="C65" s="38"/>
      <c r="D65" s="38"/>
      <c r="E65" s="350"/>
      <c r="F65" s="139" t="s">
        <v>1089</v>
      </c>
      <c r="G65" s="359" t="s">
        <v>925</v>
      </c>
      <c r="H65" s="359" t="s">
        <v>927</v>
      </c>
      <c r="I65" s="359" t="s">
        <v>19</v>
      </c>
      <c r="J65" s="359" t="s">
        <v>912</v>
      </c>
      <c r="K65" s="38"/>
      <c r="L65" s="62"/>
    </row>
    <row r="66" spans="1:13" s="36" customFormat="1" ht="409.5" x14ac:dyDescent="0.25">
      <c r="A66" s="25" t="str">
        <f>'START HERE'!$A$23</f>
        <v>COMP-01</v>
      </c>
      <c r="B66" s="26" t="str">
        <f>VLOOKUP($A66,'START HERE'!$A$13:$E$36,2,0)&amp;""</f>
        <v>Do you have a dedicated software and system development team(s) (e.g., customer support, implementation, product management, etc.)?*</v>
      </c>
      <c r="C66" s="52" t="str">
        <f>VLOOKUP($A66,'START HERE'!$A$13:$E$36,3,0)&amp;""</f>
        <v>Yes</v>
      </c>
      <c r="D66" s="41" t="str">
        <f>IF(LEFT(VLOOKUP($A66,'START HERE'!$A$13:$E$36,5,0),21)='Auto Responses'!$A$73,'Auto Responses'!$A$74,VLOOKUP($A66,'START HERE'!$A$13:$E$36,4,0))&amp;""</f>
        <v>Cirrus Identity is a relatively small team of IT professionals, each with a background in delivering secure information systems. Our team operates as an integrated whole using both agile and devops methods to deliver our services. While team members have areas of responsibility, there is currently not enough specialization to require focused teams. The areas of responsibility are as follows: Software development: 3 full-time engineers. We also have two long-term contract engineers that assist with R&amp;D and new feature development as appropriate. Systems engineering: 2 full-time engineers. Customer support and Product: 3 full-time positions dedicated to Product and Customer Success. The CEO and Dir of Sales and Marketing also contribute to product management.</v>
      </c>
      <c r="E66" s="353" t="str">
        <f>VLOOKUP($A66,'START HERE'!$A$13:$E$36,5,0)&amp;""</f>
        <v>Describe the structure and size of your software and system development teams. (e.g., customer support, implementation, product management, etc.).</v>
      </c>
      <c r="F66" s="199"/>
      <c r="G66" s="37" t="str">
        <f>VLOOKUP($A66,Questions!$A$2:$X$333,21,0)&amp;""</f>
        <v>Yes</v>
      </c>
      <c r="H66" s="192"/>
      <c r="I66" s="52" t="str">
        <f>VLOOKUP($A66,Questions!$A$2:$X$333,23,0)&amp;""</f>
        <v>Critical Importance</v>
      </c>
      <c r="J66" s="192"/>
      <c r="K66" s="55" t="b">
        <v>0</v>
      </c>
      <c r="L66" s="62"/>
      <c r="M66" s="1"/>
    </row>
    <row r="67" spans="1:13" s="36" customFormat="1" ht="315" x14ac:dyDescent="0.25">
      <c r="A67" s="25" t="str">
        <f>'START HERE'!$A$24</f>
        <v>COMP-02</v>
      </c>
      <c r="B67" s="26" t="str">
        <f>VLOOKUP($A67,'START HERE'!$A$13:$E$36,2,0)&amp;""</f>
        <v>Describe your organization’s business background and ownership structure, including all parent and subsidiary relationships.</v>
      </c>
      <c r="C67" s="324" t="str">
        <f>VLOOKUP($A67,'START HERE'!$A$13:$E$36,3,0)&amp;""</f>
        <v>Cirrus Identity was founded in January 2013 as a Delaware C Corporation. Cirrus Identity is privately held, with the majority of shareholders being employees of the company. Cirrus Identity's prior investors include Merian Ventures, 500 Startups, and Golden Seeds, who together own approximately 7% of the company. Cirrus Identity does not own any subsidiary companies, nor is it owned by any parent organizations.</v>
      </c>
      <c r="D67" s="325" t="str">
        <f>IF(LEFT(VLOOKUP($A67,'START HERE'!$A$13:$E$36,5,0),21)='Auto Responses'!$A$73,'Auto Responses'!$A$74,VLOOKUP($A67,'START HERE'!$A$13:$E$36,4,0))&amp;""</f>
        <v/>
      </c>
      <c r="E67" s="353" t="str">
        <f>VLOOKUP($A67,'START HERE'!$A$13:$E$36,5,0)&amp;""</f>
        <v>Include circumstances that may involve offshoring or multinational agreements.</v>
      </c>
      <c r="F67" s="199"/>
      <c r="G67" s="37" t="str">
        <f>VLOOKUP($A67,Questions!$A$2:$X$333,21,0)&amp;""</f>
        <v>Not scored</v>
      </c>
      <c r="H67" s="192"/>
      <c r="I67" s="52" t="str">
        <f>VLOOKUP($A67,Questions!$A$2:$X$333,23,0)&amp;""</f>
        <v>Minor Importance</v>
      </c>
      <c r="J67" s="192"/>
      <c r="K67" s="55" t="b">
        <v>0</v>
      </c>
      <c r="L67" s="62"/>
      <c r="M67" s="1"/>
    </row>
    <row r="68" spans="1:13" s="36" customFormat="1" ht="270" x14ac:dyDescent="0.25">
      <c r="A68" s="25" t="str">
        <f>'START HERE'!$A$25</f>
        <v>COMP-03</v>
      </c>
      <c r="B68" s="26" t="str">
        <f>VLOOKUP($A68,'START HERE'!$A$13:$E$36,2,0)&amp;""</f>
        <v>Have you operated without unplanned disruptions to this solution in the past 12 months?</v>
      </c>
      <c r="C68" s="52" t="str">
        <f>VLOOKUP($A68,'START HERE'!$A$13:$E$36,3,0)&amp;""</f>
        <v>No</v>
      </c>
      <c r="D68" s="41" t="str">
        <f>IF(LEFT(VLOOKUP($A68,'START HERE'!$A$13:$E$36,5,0),21)='Auto Responses'!$A$73,'Auto Responses'!$A$74,VLOOKUP($A68,'START HERE'!$A$13:$E$36,4,0))&amp;""</f>
        <v xml:space="preserve">From 2024-04-30 to 2025-05-01, there were two unplanned disruptions impacting general service availability (not related to implementation details of a specific customer). One impacted customers of the Cirrus Identity OrgBrandedID for a period of 34 minutes, and the other impacted customers of Cirrus Identity Invitation Service for a period of 2 hours. </v>
      </c>
      <c r="E68" s="353" t="str">
        <f>VLOOKUP($A68,'START HERE'!$A$13:$E$36,5,0)&amp;""</f>
        <v>Provide a detailed summary of the unplanned disruption.</v>
      </c>
      <c r="F68" s="199"/>
      <c r="G68" s="37" t="str">
        <f>VLOOKUP($A68,Questions!$A$2:$X$333,21,0)&amp;""</f>
        <v>Yes</v>
      </c>
      <c r="H68" s="192"/>
      <c r="I68" s="52" t="str">
        <f>VLOOKUP($A68,Questions!$A$2:$X$333,23,0)&amp;""</f>
        <v>Minor Importance</v>
      </c>
      <c r="J68" s="192"/>
      <c r="K68" s="55" t="b">
        <v>0</v>
      </c>
      <c r="L68" s="62"/>
      <c r="M68" s="1"/>
    </row>
    <row r="69" spans="1:13" s="36" customFormat="1" ht="409.5" x14ac:dyDescent="0.25">
      <c r="A69" s="25" t="str">
        <f>'START HERE'!$A$26</f>
        <v>COMP-04</v>
      </c>
      <c r="B69" s="26" t="str">
        <f>VLOOKUP($A69,'START HERE'!$A$13:$E$36,2,0)&amp;""</f>
        <v>Do you have a dedicated information security staff or office?</v>
      </c>
      <c r="C69" s="52" t="str">
        <f>VLOOKUP($A69,'START HERE'!$A$13:$E$36,3,0)&amp;""</f>
        <v>Yes</v>
      </c>
      <c r="D69" s="41" t="str">
        <f>IF(LEFT(VLOOKUP($A69,'START HERE'!$A$13:$E$36,5,0),21)='Auto Responses'!$A$73,'Auto Responses'!$A$74,VLOOKUP($A69,'START HERE'!$A$13:$E$36,4,0))&amp;""</f>
        <v xml:space="preserve">Mark Rank, Director of Compliance and Strategic Insights, leads the compliance program. Patrick Radtke, CTO, is responsible for system infrastructure compliance. Mary McKee, VP of Engineering, is responsible for engineering, change control, and access compliance. Kristina Deaton, VP of Customer Success, is responsible for incident response. These individuals together with the CEO and Director of Marketing and Sales also form the Cirrus Leadership Team which provides leadership and oversight of the Cirrus Identity compliance program.   </v>
      </c>
      <c r="E69" s="353" t="str">
        <f>VLOOKUP($A69,'START HERE'!$A$13:$E$36,5,0)&amp;""</f>
        <v>Describe your information security office, including size, talents, resources, etc.</v>
      </c>
      <c r="F69" s="199"/>
      <c r="G69" s="37" t="str">
        <f>VLOOKUP($A69,Questions!$A$2:$X$333,21,0)&amp;""</f>
        <v>Yes</v>
      </c>
      <c r="H69" s="192"/>
      <c r="I69" s="52" t="str">
        <f>VLOOKUP($A69,Questions!$A$2:$X$333,23,0)&amp;""</f>
        <v>Minor Importance</v>
      </c>
      <c r="J69" s="192"/>
      <c r="K69" s="55" t="b">
        <v>0</v>
      </c>
      <c r="L69" s="62"/>
      <c r="M69" s="1"/>
    </row>
    <row r="70" spans="1:13" s="36" customFormat="1" ht="409.5" x14ac:dyDescent="0.25">
      <c r="A70" s="25" t="str">
        <f>'START HERE'!$A$27</f>
        <v>COMP-05</v>
      </c>
      <c r="B70" s="26" t="str">
        <f>VLOOKUP($A70,'START HERE'!$A$13:$E$36,2,0)&amp;""</f>
        <v>Use this area to share information about your environment that will assist those who are assessing your company's data security program.</v>
      </c>
      <c r="C70" s="324" t="str">
        <f>VLOOKUP($A70,'START HERE'!$A$13:$E$36,3,0)&amp;""</f>
        <v xml:space="preserve">Cirrus Identity runs its infrastructure on Amazon Web Services (AWS). Cirrus production workloads are operating in an AWS Virtual Private Cloud (VPC) and load balanced using Amazon Elastic Kubernetes Service (EKS) spread across multiple availability zones in the US East (Northern Virginia) Region. Cirrus Identity currently deploys its systems according to commercially reasonable and Amazon recommended practices. Cirrus Identity services are developed following commercially reasonable and OWASP recommended practices . </v>
      </c>
      <c r="D70" s="325" t="str">
        <f>IF(LEFT(VLOOKUP($A70,'START HERE'!$A$13:$E$36,5,0),21)='Auto Responses'!$A$73,'Auto Responses'!$A$74,VLOOKUP($A70,'START HERE'!$A$13:$E$36,4,0))&amp;""</f>
        <v/>
      </c>
      <c r="E70" s="353" t="str">
        <f>VLOOKUP($A70,'START HERE'!$A$13:$E$36,5,0)&amp;""</f>
        <v>Share any details that would help information security analysts assess your solution.</v>
      </c>
      <c r="F70" s="199"/>
      <c r="G70" s="37" t="str">
        <f>VLOOKUP($A70,Questions!$A$2:$X$333,21,0)&amp;""</f>
        <v>Not scored</v>
      </c>
      <c r="H70" s="192"/>
      <c r="I70" s="52" t="str">
        <f>VLOOKUP($A70,Questions!$A$2:$X$333,23,0)&amp;""</f>
        <v>Minor Importance</v>
      </c>
      <c r="J70" s="192"/>
      <c r="K70" s="55" t="b">
        <v>0</v>
      </c>
      <c r="L70" s="62"/>
      <c r="M70" s="1"/>
    </row>
    <row r="71" spans="1:13" s="1" customFormat="1" ht="18" thickBot="1" x14ac:dyDescent="0.3">
      <c r="A71" s="70" t="str">
        <f>VLOOKUP(LEFT($A72,4),'Auto Responses'!$N$4:$O$38,2,0)&amp;""</f>
        <v xml:space="preserve"> Required Questions</v>
      </c>
      <c r="B71" s="29"/>
      <c r="C71" s="38"/>
      <c r="D71" s="38"/>
      <c r="E71" s="352"/>
      <c r="F71" s="139" t="s">
        <v>1089</v>
      </c>
      <c r="G71" s="359" t="s">
        <v>925</v>
      </c>
      <c r="H71" s="359" t="s">
        <v>927</v>
      </c>
      <c r="I71" s="359" t="s">
        <v>19</v>
      </c>
      <c r="J71" s="359" t="s">
        <v>912</v>
      </c>
      <c r="K71" s="160"/>
      <c r="L71" s="62"/>
    </row>
    <row r="72" spans="1:13" s="36" customFormat="1" ht="60" x14ac:dyDescent="0.25">
      <c r="A72" s="25" t="str">
        <f>'START HERE'!$A$29</f>
        <v>REQU-01</v>
      </c>
      <c r="B72" s="26" t="str">
        <f>VLOOKUP($A72,'START HERE'!$A$13:$E$36,2,0)&amp;""</f>
        <v>Are you offering either a product or platform, as opposed to only offering a service</v>
      </c>
      <c r="C72" s="52" t="str">
        <f>VLOOKUP($A72,'START HERE'!$A$13:$E$36,3,0)&amp;""</f>
        <v>Yes</v>
      </c>
      <c r="D72" s="41" t="str">
        <f>IF(LEFT(VLOOKUP($A72,'START HERE'!$A$13:$E$36,5,0),21)='Auto Responses'!$A$73,'Auto Responses'!$A$74,VLOOKUP($A72,'START HERE'!$A$13:$E$36,4,0))&amp;""</f>
        <v/>
      </c>
      <c r="E72" s="351" t="str">
        <f>VLOOKUP($A72,'START HERE'!$A$13:$E$36,5,0)&amp;""</f>
        <v>DO complete the Product and Infrastructure worksheets</v>
      </c>
      <c r="F72" s="200"/>
      <c r="G72" s="37" t="str">
        <f>VLOOKUP($A72,Questions!$A$2:$X$333,21,0)&amp;""</f>
        <v>Not scored</v>
      </c>
      <c r="H72" s="192"/>
      <c r="I72" s="52" t="str">
        <f>VLOOKUP($A72,Questions!$A$2:$X$333,23,0)&amp;""</f>
        <v/>
      </c>
      <c r="J72" s="192"/>
      <c r="K72" s="161" t="b">
        <v>0</v>
      </c>
      <c r="L72" s="62"/>
      <c r="M72" s="1"/>
    </row>
    <row r="73" spans="1:13" s="36" customFormat="1" ht="45" x14ac:dyDescent="0.25">
      <c r="A73" s="25" t="str">
        <f>'START HERE'!$A$30</f>
        <v>REQU-02</v>
      </c>
      <c r="B73" s="26" t="str">
        <f>VLOOKUP($A73,'START HERE'!$A$13:$E$36,2,0)&amp;""</f>
        <v>Does your product or service have an interface?</v>
      </c>
      <c r="C73" s="52" t="str">
        <f>VLOOKUP($A73,'START HERE'!$A$13:$E$36,3,0)&amp;""</f>
        <v>Yes</v>
      </c>
      <c r="D73" s="41" t="str">
        <f>IF(LEFT(VLOOKUP($A73,'START HERE'!$A$13:$E$36,5,0),21)='Auto Responses'!$A$73,'Auto Responses'!$A$74,VLOOKUP($A73,'START HERE'!$A$13:$E$36,4,0))&amp;""</f>
        <v/>
      </c>
      <c r="E73" s="351" t="str">
        <f>VLOOKUP($A73,'START HERE'!$A$13:$E$36,5,0)&amp;""</f>
        <v>DO complete the IT Accessibility worksheet.</v>
      </c>
      <c r="F73" s="195"/>
      <c r="G73" s="37" t="str">
        <f>VLOOKUP($A73,Questions!$A$2:$X$333,21,0)&amp;""</f>
        <v>Not scored</v>
      </c>
      <c r="H73" s="192"/>
      <c r="I73" s="52" t="str">
        <f>VLOOKUP($A73,Questions!$A$2:$X$333,23,0)&amp;""</f>
        <v/>
      </c>
      <c r="J73" s="192"/>
      <c r="K73" s="55" t="b">
        <v>0</v>
      </c>
      <c r="L73" s="62"/>
      <c r="M73" s="1"/>
    </row>
    <row r="74" spans="1:13" s="36" customFormat="1" ht="120" x14ac:dyDescent="0.25">
      <c r="A74" s="25" t="str">
        <f>'START HERE'!$A$31</f>
        <v>REQU-03</v>
      </c>
      <c r="B74" s="26" t="str">
        <f>VLOOKUP($A74,'START HERE'!$A$13:$E$36,2,0)&amp;""</f>
        <v>Are you providing consulting services?</v>
      </c>
      <c r="C74" s="52" t="str">
        <f>VLOOKUP($A74,'START HERE'!$A$13:$E$36,3,0)&amp;""</f>
        <v>No</v>
      </c>
      <c r="D74" s="41" t="str">
        <f>IF(LEFT(VLOOKUP($A74,'START HERE'!$A$13:$E$36,5,0),21)='Auto Responses'!$A$73,'Auto Responses'!$A$74,VLOOKUP($A74,'START HERE'!$A$13:$E$36,4,0))&amp;""</f>
        <v>Cirrus Identity provides professional services to support deployment of our hosted services -- Professional services is not a primary function of the company</v>
      </c>
      <c r="E74" s="351" t="str">
        <f>VLOOKUP($A74,'START HERE'!$A$13:$E$36,5,0)&amp;""</f>
        <v>DO NOT complete the Consulting section in the Case-Specific worksheet</v>
      </c>
      <c r="F74" s="195"/>
      <c r="G74" s="37" t="str">
        <f>VLOOKUP($A74,Questions!$A$2:$X$333,21,0)&amp;""</f>
        <v>Not scored</v>
      </c>
      <c r="H74" s="192"/>
      <c r="I74" s="52" t="str">
        <f>VLOOKUP($A74,Questions!$A$2:$X$333,23,0)&amp;""</f>
        <v/>
      </c>
      <c r="J74" s="192"/>
      <c r="K74" s="55" t="b">
        <v>0</v>
      </c>
      <c r="L74" s="62"/>
      <c r="M74" s="1"/>
    </row>
    <row r="75" spans="1:13" s="36" customFormat="1" ht="45" x14ac:dyDescent="0.25">
      <c r="A75" s="25" t="str">
        <f>'START HERE'!$A$32</f>
        <v>REQU-04</v>
      </c>
      <c r="B75" s="26" t="str">
        <f>VLOOKUP($A75,'START HERE'!$A$13:$E$36,2,0)&amp;""</f>
        <v>Does your solution have AI features, or are there plans to implement AI features in the next 12 months?</v>
      </c>
      <c r="C75" s="52" t="str">
        <f>VLOOKUP($A75,'START HERE'!$A$13:$E$36,3,0)&amp;""</f>
        <v>No</v>
      </c>
      <c r="D75" s="41" t="str">
        <f>IF(LEFT(VLOOKUP($A75,'START HERE'!$A$13:$E$36,5,0),21)='Auto Responses'!$A$73,'Auto Responses'!$A$74,VLOOKUP($A75,'START HERE'!$A$13:$E$36,4,0))&amp;""</f>
        <v/>
      </c>
      <c r="E75" s="351" t="str">
        <f>VLOOKUP($A75,'START HERE'!$A$13:$E$36,5,0)&amp;""</f>
        <v>DO NOT complete the Artificial Intelligence (AI) worksheet</v>
      </c>
      <c r="F75" s="195"/>
      <c r="G75" s="37" t="str">
        <f>VLOOKUP($A75,Questions!$A$2:$X$333,21,0)&amp;""</f>
        <v>Not scored</v>
      </c>
      <c r="H75" s="192"/>
      <c r="I75" s="52" t="str">
        <f>VLOOKUP($A75,Questions!$A$2:$X$333,23,0)&amp;""</f>
        <v/>
      </c>
      <c r="J75" s="192"/>
      <c r="K75" s="55" t="b">
        <v>0</v>
      </c>
      <c r="L75" s="62"/>
      <c r="M75" s="1"/>
    </row>
    <row r="76" spans="1:13" s="36" customFormat="1" ht="90" x14ac:dyDescent="0.25">
      <c r="A76" s="25" t="str">
        <f>'START HERE'!$A$33</f>
        <v>REQU-05</v>
      </c>
      <c r="B76" s="26" t="str">
        <f>VLOOKUP($A76,'START HERE'!$A$13:$E$36,2,0)&amp;""</f>
        <v>Does your solution process protected health information (PHI) or any data covered by the Health Insurance Portability and Accountability Act (HIPAA)?</v>
      </c>
      <c r="C76" s="52" t="str">
        <f>VLOOKUP($A76,'START HERE'!$A$13:$E$36,3,0)&amp;""</f>
        <v>No</v>
      </c>
      <c r="D76" s="41" t="str">
        <f>IF(LEFT(VLOOKUP($A76,'START HERE'!$A$13:$E$36,5,0),21)='Auto Responses'!$A$73,'Auto Responses'!$A$74,VLOOKUP($A76,'START HERE'!$A$13:$E$36,4,0))&amp;""</f>
        <v>The Cirrus Identity standard subscription does not cover access control for protected health information (PHI).</v>
      </c>
      <c r="E76" s="351" t="str">
        <f>VLOOKUP($A76,'START HERE'!$A$13:$E$36,5,0)&amp;""</f>
        <v>DO NOT complete the HIPAA section in the Case-Specific worksheet</v>
      </c>
      <c r="F76" s="195"/>
      <c r="G76" s="37" t="str">
        <f>VLOOKUP($A76,Questions!$A$2:$X$333,21,0)&amp;""</f>
        <v>Not scored</v>
      </c>
      <c r="H76" s="192"/>
      <c r="I76" s="52" t="str">
        <f>VLOOKUP($A76,Questions!$A$2:$X$333,23,0)&amp;""</f>
        <v/>
      </c>
      <c r="J76" s="192"/>
      <c r="K76" s="55" t="b">
        <v>0</v>
      </c>
      <c r="L76" s="62"/>
      <c r="M76" s="1"/>
    </row>
    <row r="77" spans="1:13" s="36" customFormat="1" ht="90" x14ac:dyDescent="0.25">
      <c r="A77" s="25" t="str">
        <f>'START HERE'!$A$34</f>
        <v>REQU-06</v>
      </c>
      <c r="B77" s="26" t="str">
        <f>VLOOKUP($A77,'START HERE'!$A$13:$E$36,2,0)&amp;""</f>
        <v>Is the solution designed to process, store, or transmit credit card information?</v>
      </c>
      <c r="C77" s="52" t="str">
        <f>VLOOKUP($A77,'START HERE'!$A$13:$E$36,3,0)&amp;""</f>
        <v>No</v>
      </c>
      <c r="D77" s="41" t="str">
        <f>IF(LEFT(VLOOKUP($A77,'START HERE'!$A$13:$E$36,5,0),21)='Auto Responses'!$A$73,'Auto Responses'!$A$74,VLOOKUP($A77,'START HERE'!$A$13:$E$36,4,0))&amp;""</f>
        <v>The Cirrus Identity standard subscription does not cover access control for data covered by the PCI-DSS standard.</v>
      </c>
      <c r="E77" s="351" t="str">
        <f>VLOOKUP($A77,'START HERE'!$A$13:$E$36,5,0)&amp;""</f>
        <v>DO NOT complete the PCI-DSS section in the Case-Specific worksheet</v>
      </c>
      <c r="F77" s="195"/>
      <c r="G77" s="37" t="str">
        <f>VLOOKUP($A77,Questions!$A$2:$X$333,21,0)&amp;""</f>
        <v>Not scored</v>
      </c>
      <c r="H77" s="192"/>
      <c r="I77" s="52" t="str">
        <f>VLOOKUP($A77,Questions!$A$2:$X$333,23,0)&amp;""</f>
        <v/>
      </c>
      <c r="J77" s="192"/>
      <c r="K77" s="55" t="b">
        <v>0</v>
      </c>
      <c r="L77" s="62"/>
      <c r="M77" s="1"/>
    </row>
    <row r="78" spans="1:13" s="36" customFormat="1" ht="60" x14ac:dyDescent="0.25">
      <c r="A78" s="25" t="str">
        <f>'START HERE'!$A$35</f>
        <v>REQU-07</v>
      </c>
      <c r="B78" s="26" t="str">
        <f>VLOOKUP($A78,'START HERE'!$A$13:$E$36,2,0)&amp;""</f>
        <v>Does operating your solution require the institution to operate a physical or virtual appliance in their own environment or to provide inbound firewall exceptions to allow your employees to remotely administer systems in the institution's environment?</v>
      </c>
      <c r="C78" s="52" t="str">
        <f>VLOOKUP($A78,'START HERE'!$A$13:$E$36,3,0)&amp;""</f>
        <v>No</v>
      </c>
      <c r="D78" s="41" t="str">
        <f>IF(LEFT(VLOOKUP($A78,'START HERE'!$A$13:$E$36,5,0),21)='Auto Responses'!$A$73,'Auto Responses'!$A$74,VLOOKUP($A78,'START HERE'!$A$13:$E$36,4,0))&amp;""</f>
        <v/>
      </c>
      <c r="E78" s="351" t="str">
        <f>VLOOKUP($A78,'START HERE'!$A$13:$E$36,5,0)&amp;""</f>
        <v>DO NOT complete the On-Prem section in the Case-Specific worksheet</v>
      </c>
      <c r="F78" s="195"/>
      <c r="G78" s="37" t="str">
        <f>VLOOKUP($A78,Questions!$A$2:$X$333,21,0)&amp;""</f>
        <v>Not scored</v>
      </c>
      <c r="H78" s="192"/>
      <c r="I78" s="52" t="str">
        <f>VLOOKUP($A78,Questions!$A$2:$X$333,23,0)&amp;""</f>
        <v/>
      </c>
      <c r="J78" s="192"/>
      <c r="K78" s="55" t="b">
        <v>0</v>
      </c>
      <c r="L78" s="62"/>
      <c r="M78" s="1"/>
    </row>
    <row r="79" spans="1:13" s="36" customFormat="1" ht="30.5" thickBot="1" x14ac:dyDescent="0.3">
      <c r="A79" s="25" t="str">
        <f>'START HERE'!$A$36</f>
        <v>REQU-08</v>
      </c>
      <c r="B79" s="26" t="str">
        <f>VLOOKUP($A79,'START HERE'!$A$13:$E$36,2,0)&amp;""</f>
        <v>Does your solution have access to personal or institutional data?</v>
      </c>
      <c r="C79" s="52" t="str">
        <f>VLOOKUP($A79,'START HERE'!$A$13:$E$36,3,0)&amp;""</f>
        <v>Yes</v>
      </c>
      <c r="D79" s="41" t="str">
        <f>IF(LEFT(VLOOKUP($A79,'START HERE'!$A$13:$E$36,5,0),21)='Auto Responses'!$A$73,'Auto Responses'!$A$74,VLOOKUP($A79,'START HERE'!$A$13:$E$36,4,0))&amp;""</f>
        <v/>
      </c>
      <c r="E79" s="351" t="str">
        <f>VLOOKUP($A79,'START HERE'!$A$13:$E$36,5,0)&amp;""</f>
        <v>DO complete the Privacy tab</v>
      </c>
      <c r="F79" s="201"/>
      <c r="G79" s="37" t="str">
        <f>VLOOKUP($A79,Questions!$A$2:$X$333,21,0)&amp;""</f>
        <v>Not scored</v>
      </c>
      <c r="H79" s="192"/>
      <c r="I79" s="52" t="str">
        <f>VLOOKUP($A79,Questions!$A$2:$X$333,23,0)&amp;""</f>
        <v/>
      </c>
      <c r="J79" s="192"/>
      <c r="K79" s="159" t="b">
        <v>0</v>
      </c>
      <c r="L79" s="62"/>
      <c r="M79" s="1"/>
    </row>
    <row r="80" spans="1:13" s="1" customFormat="1" ht="17.5" x14ac:dyDescent="0.25">
      <c r="A80" s="70" t="str">
        <f>VLOOKUP(LEFT($A81,4),'Auto Responses'!$N$4:$O$38,2,0)&amp;""</f>
        <v xml:space="preserve"> Documentation</v>
      </c>
      <c r="B80" s="29"/>
      <c r="C80" s="38"/>
      <c r="D80" s="38"/>
      <c r="E80" s="352"/>
      <c r="F80" s="139" t="s">
        <v>1089</v>
      </c>
      <c r="G80" s="359" t="s">
        <v>925</v>
      </c>
      <c r="H80" s="359" t="s">
        <v>927</v>
      </c>
      <c r="I80" s="359" t="s">
        <v>19</v>
      </c>
      <c r="J80" s="359" t="s">
        <v>912</v>
      </c>
      <c r="K80" s="38"/>
    </row>
    <row r="81" spans="1:12" s="36" customFormat="1" ht="27" x14ac:dyDescent="0.25">
      <c r="A81" s="25" t="str">
        <f>Organization!$A$22</f>
        <v>DOCU-01</v>
      </c>
      <c r="B81" s="26" t="str">
        <f>VLOOKUP($A81,Organization!$A$13:$E$67,2,0)&amp;""</f>
        <v>Do you have a well-documented business continuity plan (BCP), with a clear owner, that is tested annually?*</v>
      </c>
      <c r="C81" s="52" t="str">
        <f>VLOOKUP($A81,Organization!$A$13:$E$67,3,0)&amp;""</f>
        <v>Yes</v>
      </c>
      <c r="D81" s="41" t="str">
        <f>IF(LEFT(VLOOKUP($A81,Organization!$A$13:$E$67,5,0),21)='Auto Responses'!$A$73,'Auto Responses'!$A$74,VLOOKUP($A81,Organization!$A$13:$E$67,4,0))&amp;""</f>
        <v/>
      </c>
      <c r="E81" s="351" t="str">
        <f>VLOOKUP($A81,Organization!$A$13:$E$67,5,0)&amp;""</f>
        <v/>
      </c>
      <c r="F81" s="202"/>
      <c r="G81" s="37" t="str">
        <f>VLOOKUP($A81,Questions!$A$2:$X$333,21,0)&amp;""</f>
        <v>Yes</v>
      </c>
      <c r="H81" s="192"/>
      <c r="I81" s="52" t="str">
        <f>VLOOKUP($A81,Questions!$A$2:$X$333,23,0)&amp;""</f>
        <v>Critical Importance</v>
      </c>
      <c r="J81" s="192"/>
      <c r="K81" s="55" t="b">
        <v>0</v>
      </c>
      <c r="L81" s="1"/>
    </row>
    <row r="82" spans="1:12" s="36" customFormat="1" ht="27" x14ac:dyDescent="0.25">
      <c r="A82" s="25" t="str">
        <f>Organization!$A$23</f>
        <v>DOCU-02</v>
      </c>
      <c r="B82" s="26" t="str">
        <f>VLOOKUP($A82,Organization!$A$13:$E$67,2,0)&amp;""</f>
        <v>Do you have a well-documented disaster recovery plan (DRP), with a clear owner, that is tested annually?*</v>
      </c>
      <c r="C82" s="52" t="str">
        <f>VLOOKUP($A82,Organization!$A$13:$E$67,3,0)&amp;""</f>
        <v>Yes</v>
      </c>
      <c r="D82" s="41" t="str">
        <f>IF(LEFT(VLOOKUP($A82,Organization!$A$13:$E$67,5,0),21)='Auto Responses'!$A$73,'Auto Responses'!$A$74,VLOOKUP($A82,Organization!$A$13:$E$67,4,0))&amp;""</f>
        <v/>
      </c>
      <c r="E82" s="351" t="str">
        <f>VLOOKUP($A82,Organization!$A$13:$E$67,5,0)&amp;""</f>
        <v/>
      </c>
      <c r="F82" s="202"/>
      <c r="G82" s="37" t="str">
        <f>VLOOKUP($A82,Questions!$A$2:$X$333,21,0)&amp;""</f>
        <v>Yes</v>
      </c>
      <c r="H82" s="192"/>
      <c r="I82" s="52" t="str">
        <f>VLOOKUP($A82,Questions!$A$2:$X$333,23,0)&amp;""</f>
        <v>Critical Importance</v>
      </c>
      <c r="J82" s="192"/>
      <c r="K82" s="55" t="b">
        <v>0</v>
      </c>
      <c r="L82" s="1"/>
    </row>
    <row r="83" spans="1:12" s="36" customFormat="1" ht="195" x14ac:dyDescent="0.25">
      <c r="A83" s="25" t="str">
        <f>Organization!$A$24</f>
        <v>DOCU-03</v>
      </c>
      <c r="B83" s="26" t="str">
        <f>VLOOKUP($A83,Organization!$A$13:$E$67,2,0)&amp;""</f>
        <v>Have you undergone a SSAE 18/SOC 2 audit?</v>
      </c>
      <c r="C83" s="52" t="str">
        <f>VLOOKUP($A83,Organization!$A$13:$E$67,3,0)&amp;""</f>
        <v>Yes</v>
      </c>
      <c r="D83" s="41" t="str">
        <f>IF(LEFT(VLOOKUP($A83,Organization!$A$13:$E$67,5,0),21)='Auto Responses'!$A$73,'Auto Responses'!$A$74,VLOOKUP($A83,Organization!$A$13:$E$67,4,0))&amp;""</f>
        <v>The 2024-2025 SOC2 Type2 report was completed 2025-02-14. Our hosting provider (AWS) was not a subject of the audit. The process to request a copy is available from https://www.cirrusidentity.com/resources/trust-and-compliance-center</v>
      </c>
      <c r="E83" s="351" t="str">
        <f>VLOOKUP($A83,Organization!$A$13:$E$67,5,0)&amp;""</f>
        <v>Provide the date of assessment and include a SOC 2 Type 2 (preferred) or SOC 3 report. If you have a SOC 3 report, state how to obtain a copy. Indicate if your hosting provider was the subject of the audit.</v>
      </c>
      <c r="F83" s="202"/>
      <c r="G83" s="37" t="str">
        <f>VLOOKUP($A83,Questions!$A$2:$X$333,21,0)&amp;""</f>
        <v>Yes</v>
      </c>
      <c r="H83" s="192"/>
      <c r="I83" s="52" t="str">
        <f>VLOOKUP($A83,Questions!$A$2:$X$333,23,0)&amp;""</f>
        <v>Standard Importance</v>
      </c>
      <c r="J83" s="192"/>
      <c r="K83" s="55" t="b">
        <v>0</v>
      </c>
      <c r="L83" s="1"/>
    </row>
    <row r="84" spans="1:12" s="36" customFormat="1" ht="120" x14ac:dyDescent="0.25">
      <c r="A84" s="25" t="str">
        <f>Organization!$A$25</f>
        <v>DOCU-04</v>
      </c>
      <c r="B84" s="26" t="str">
        <f>VLOOKUP($A84,Organization!$A$13:$E$67,2,0)&amp;""</f>
        <v>Do you conform with a specific industry standard security framework (e.g., NIST Cybersecurity Framework, CIS Controls, ISO 27001, etc.)?</v>
      </c>
      <c r="C84" s="52" t="str">
        <f>VLOOKUP($A84,Organization!$A$13:$E$67,3,0)&amp;""</f>
        <v>Yes</v>
      </c>
      <c r="D84" s="41" t="str">
        <f>IF(LEFT(VLOOKUP($A84,Organization!$A$13:$E$67,5,0),21)='Auto Responses'!$A$73,'Auto Responses'!$A$74,VLOOKUP($A84,Organization!$A$13:$E$67,4,0))&amp;""</f>
        <v>Cirrus identity uses the CIS Controls augmented with NIST SP 800-53 to guide our security program</v>
      </c>
      <c r="E84" s="351" t="str">
        <f>VLOOKUP($A84,Organization!$A$13:$E$67,5,0)&amp;""</f>
        <v>Provide documentation on how your organization conforms to your chosen framework and indicate current certification levels, where appropriate.</v>
      </c>
      <c r="F84" s="202"/>
      <c r="G84" s="37" t="str">
        <f>VLOOKUP($A84,Questions!$A$2:$X$333,21,0)&amp;""</f>
        <v>Yes</v>
      </c>
      <c r="H84" s="192"/>
      <c r="I84" s="52" t="str">
        <f>VLOOKUP($A84,Questions!$A$2:$X$333,23,0)&amp;""</f>
        <v>Standard Importance</v>
      </c>
      <c r="J84" s="192"/>
      <c r="K84" s="55" t="b">
        <v>0</v>
      </c>
      <c r="L84" s="1"/>
    </row>
    <row r="85" spans="1:12" s="36" customFormat="1" ht="60" x14ac:dyDescent="0.25">
      <c r="A85" s="25" t="str">
        <f>Organization!$A$26</f>
        <v>DOCU-05</v>
      </c>
      <c r="B85" s="26" t="str">
        <f>VLOOKUP($A85,Organization!$A$13:$E$67,2,0)&amp;""</f>
        <v>Can you provide overall system and/or application architecture diagrams, including a full description of the data flow for all components of the system?</v>
      </c>
      <c r="C85" s="52" t="str">
        <f>VLOOKUP($A85,Organization!$A$13:$E$67,3,0)&amp;""</f>
        <v>Yes</v>
      </c>
      <c r="D85" s="41" t="str">
        <f>IF(LEFT(VLOOKUP($A85,Organization!$A$13:$E$67,5,0),21)='Auto Responses'!$A$73,'Auto Responses'!$A$74,VLOOKUP($A85,Organization!$A$13:$E$67,4,0))&amp;""</f>
        <v>That information is available by requesting our latest SOC2 Type 2 report.</v>
      </c>
      <c r="E85" s="351" t="str">
        <f>VLOOKUP($A85,Organization!$A$13:$E$67,5,0)&amp;""</f>
        <v>Provide your diagrams (or a valid link to it) upon submission.</v>
      </c>
      <c r="F85" s="202"/>
      <c r="G85" s="37" t="str">
        <f>VLOOKUP($A85,Questions!$A$2:$X$333,21,0)&amp;""</f>
        <v>Yes</v>
      </c>
      <c r="H85" s="192"/>
      <c r="I85" s="52" t="str">
        <f>VLOOKUP($A85,Questions!$A$2:$X$333,23,0)&amp;""</f>
        <v>Standard Importance</v>
      </c>
      <c r="J85" s="192"/>
      <c r="K85" s="55" t="b">
        <v>0</v>
      </c>
      <c r="L85" s="1"/>
    </row>
    <row r="86" spans="1:12" s="36" customFormat="1" ht="90" x14ac:dyDescent="0.25">
      <c r="A86" s="25" t="str">
        <f>Organization!$A$27</f>
        <v>DOCU-06</v>
      </c>
      <c r="B86" s="26" t="str">
        <f>VLOOKUP($A86,Organization!$A$13:$E$67,2,0)&amp;""</f>
        <v>Does your organization have a data privacy policy?</v>
      </c>
      <c r="C86" s="52" t="str">
        <f>VLOOKUP($A86,Organization!$A$13:$E$67,3,0)&amp;""</f>
        <v>Yes</v>
      </c>
      <c r="D86" s="41" t="str">
        <f>IF(LEFT(VLOOKUP($A86,Organization!$A$13:$E$67,5,0),21)='Auto Responses'!$A$73,'Auto Responses'!$A$74,VLOOKUP($A86,Organization!$A$13:$E$67,4,0))&amp;""</f>
        <v>The current privacy policy is available from https://www.cirrusidentity.com/resources/trust-and-compliance-center</v>
      </c>
      <c r="E86" s="351" t="str">
        <f>VLOOKUP($A86,Organization!$A$13:$E$67,5,0)&amp;""</f>
        <v>Provide your data privacy document (or a valid link to it) upon submission.</v>
      </c>
      <c r="F86" s="202"/>
      <c r="G86" s="37" t="str">
        <f>VLOOKUP($A86,Questions!$A$2:$X$333,21,0)&amp;""</f>
        <v>Yes</v>
      </c>
      <c r="H86" s="192"/>
      <c r="I86" s="52" t="str">
        <f>VLOOKUP($A86,Questions!$A$2:$X$333,23,0)&amp;""</f>
        <v>Standard Importance</v>
      </c>
      <c r="J86" s="192"/>
      <c r="K86" s="55" t="b">
        <v>0</v>
      </c>
      <c r="L86" s="1"/>
    </row>
    <row r="87" spans="1:12" s="36" customFormat="1" ht="135" x14ac:dyDescent="0.25">
      <c r="A87" s="25" t="str">
        <f>Organization!$A$28</f>
        <v>DOCU-07</v>
      </c>
      <c r="B87" s="26" t="str">
        <f>VLOOKUP($A87,Organization!$A$13:$E$67,2,0)&amp;""</f>
        <v>Do you have a documented, and currently implemented, employee onboarding and offboarding policy?</v>
      </c>
      <c r="C87" s="52" t="str">
        <f>VLOOKUP($A87,Organization!$A$13:$E$67,3,0)&amp;""</f>
        <v>Yes</v>
      </c>
      <c r="D87" s="41" t="str">
        <f>IF(LEFT(VLOOKUP($A87,Organization!$A$13:$E$67,5,0),21)='Auto Responses'!$A$73,'Auto Responses'!$A$74,VLOOKUP($A87,Organization!$A$13:$E$67,4,0))&amp;""</f>
        <v>The Cirrus Identity Human Resource Security Policy and associated standard operating procedures are available upon request.</v>
      </c>
      <c r="E87" s="351" t="str">
        <f>VLOOKUP($A87,Organization!$A$13:$E$67,5,0)&amp;""</f>
        <v>Provide a reference to your employee onboarding and offboarding policy and supporting documentation or submit it along with this fully populated HECVAT.</v>
      </c>
      <c r="F87" s="202"/>
      <c r="G87" s="37" t="str">
        <f>VLOOKUP($A87,Questions!$A$2:$X$333,21,0)&amp;""</f>
        <v>Yes</v>
      </c>
      <c r="H87" s="192"/>
      <c r="I87" s="52" t="str">
        <f>VLOOKUP($A87,Questions!$A$2:$X$333,23,0)&amp;""</f>
        <v>Standard Importance</v>
      </c>
      <c r="J87" s="192"/>
      <c r="K87" s="55" t="b">
        <v>0</v>
      </c>
      <c r="L87" s="1"/>
    </row>
    <row r="88" spans="1:12" s="1" customFormat="1" ht="17.5" x14ac:dyDescent="0.25">
      <c r="A88" s="70" t="str">
        <f>VLOOKUP(LEFT($A89,4),'Auto Responses'!$N$4:$O$38,2,0)&amp;""</f>
        <v xml:space="preserve"> Assessment of Third Parties</v>
      </c>
      <c r="B88" s="29"/>
      <c r="C88" s="38"/>
      <c r="D88" s="38"/>
      <c r="E88" s="352"/>
      <c r="F88" s="139" t="s">
        <v>1089</v>
      </c>
      <c r="G88" s="359" t="s">
        <v>925</v>
      </c>
      <c r="H88" s="359" t="s">
        <v>927</v>
      </c>
      <c r="I88" s="359" t="s">
        <v>19</v>
      </c>
      <c r="J88" s="359" t="s">
        <v>912</v>
      </c>
      <c r="K88" s="38"/>
    </row>
    <row r="89" spans="1:12" s="36" customFormat="1" ht="135" x14ac:dyDescent="0.25">
      <c r="A89" s="25" t="str">
        <f>Organization!$A$30</f>
        <v>THRD-01</v>
      </c>
      <c r="B89" s="26" t="str">
        <f>VLOOKUP($A89,Organization!$A$13:$E$67,2,0)&amp;""</f>
        <v>Do you perform security assessments of third-party companies with which you share data (e.g., hosting providers, cloud services, PaaS, IaaS, SaaS)?*</v>
      </c>
      <c r="C89" s="52" t="str">
        <f>VLOOKUP($A89,Organization!$A$13:$E$67,3,0)&amp;""</f>
        <v>Yes</v>
      </c>
      <c r="D89" s="41" t="str">
        <f>IF(LEFT(VLOOKUP($A89,Organization!$A$13:$E$67,5,0),21)='Auto Responses'!$A$73,'Auto Responses'!$A$74,VLOOKUP($A89,Organization!$A$13:$E$67,4,0))&amp;""</f>
        <v>The Third-Party Management Policy and associated standard operating procedures are available upon request.</v>
      </c>
      <c r="E89" s="351" t="str">
        <f>VLOOKUP($A89,Organization!$A$13:$E$67,5,0)&amp;""</f>
        <v>Provide a summary of your practices that assures that the third party will be subject to the appropriate standards regarding security, service recoverability, and confidentiality.</v>
      </c>
      <c r="F89" s="202"/>
      <c r="G89" s="37" t="str">
        <f>VLOOKUP($A89,Questions!$A$2:$X$333,21,0)&amp;""</f>
        <v>Yes</v>
      </c>
      <c r="H89" s="192"/>
      <c r="I89" s="52" t="str">
        <f>VLOOKUP($A89,Questions!$A$2:$X$333,23,0)&amp;""</f>
        <v>Critical Importance</v>
      </c>
      <c r="J89" s="192"/>
      <c r="K89" s="55" t="b">
        <v>0</v>
      </c>
      <c r="L89" s="1"/>
    </row>
    <row r="90" spans="1:12" s="36" customFormat="1" ht="409.5" x14ac:dyDescent="0.25">
      <c r="A90" s="25" t="str">
        <f>Organization!$A$31</f>
        <v>THRD-02</v>
      </c>
      <c r="B90" s="26" t="str">
        <f>VLOOKUP($A90,Organization!$A$13:$E$67,2,0)&amp;""</f>
        <v>Do you have contractual language in place with third parties governing access to institutional data?*</v>
      </c>
      <c r="C90" s="52" t="str">
        <f>VLOOKUP($A90,Organization!$A$13:$E$67,3,0)&amp;""</f>
        <v>Yes</v>
      </c>
      <c r="D90" s="41" t="str">
        <f>IF(LEFT(VLOOKUP($A90,Organization!$A$13:$E$67,5,0),21)='Auto Responses'!$A$73,'Auto Responses'!$A$74,VLOOKUP($A90,Organization!$A$13:$E$67,4,0))&amp;""</f>
        <v xml:space="preserve">The following third parties have access to institutional data:
1) Amazon Web Services (AWS) - Cirrus Identity runs all production loads using AWS. AWS will have access to stored institutional data and institutional data that is in transit between the end user and the institution.
2) BitWarden - Credentials for customer APIs and test accounts are stored in the LastPass service.
3) Bitbucket and GitHub - Cirrus Identity uses continuous integration and continuous deployment (CI/CD) practices to deliver our solutions. Our CI/CD pipeline utilizes git repositories for these practices. The CI/CD pipeline contains institutional data (for example metadata) that is stored at rest using git and encryption extensions for git.
4) Rapid7 - Cirrus Identity contracts with external vendor to do vulnerability assessment. 
5) Mailgun Email API and Managed Service - Unless an institution sets up the email handler to route mail through their email infrastructure, the mail generated from Cirrus Invitation Service, Cirrus Account Linking, and Cirrus External Identity Provider will be sent using the hosted service Mailgun. To perform this function, Mailgun will have access to the content of the messages sent.
6) Vanta is a service that is integrated with, compiles, and monitors Cirrus configuration and data in various systems (such as AWS, GitHub, Bitbucket and others). This data is used for ongoing compliance and auditing functions.
Cirrus Identity also utilizes the open source SimpleSAMLphp project (https://simplesamlphp.org/) as a foundational component of Cirrus Identity solutions. SimpleSAMLphp is a recognized and vetted standards based implementation of the SAML protocol. </v>
      </c>
      <c r="E90" s="351" t="str">
        <f>VLOOKUP($A90,Organization!$A$13:$E$67,5,0)&amp;""</f>
        <v>List each third party and why institutional data is shared with them. Format example: [Third Party Name] - Reason</v>
      </c>
      <c r="F90" s="202"/>
      <c r="G90" s="37" t="str">
        <f>VLOOKUP($A90,Questions!$A$2:$X$333,21,0)&amp;""</f>
        <v>Yes</v>
      </c>
      <c r="H90" s="192"/>
      <c r="I90" s="52" t="str">
        <f>VLOOKUP($A90,Questions!$A$2:$X$333,23,0)&amp;""</f>
        <v>Critical Importance</v>
      </c>
      <c r="J90" s="192"/>
      <c r="K90" s="55" t="b">
        <v>0</v>
      </c>
      <c r="L90" s="1"/>
    </row>
    <row r="91" spans="1:12" s="36" customFormat="1" ht="27" x14ac:dyDescent="0.25">
      <c r="A91" s="25" t="str">
        <f>Organization!$A$32</f>
        <v>THRD-03</v>
      </c>
      <c r="B91" s="26" t="str">
        <f>VLOOKUP($A91,Organization!$A$13:$E$67,2,0)&amp;""</f>
        <v>Do the contracts in place with these third parties address liability in the event of a data breach?*</v>
      </c>
      <c r="C91" s="52" t="str">
        <f>VLOOKUP($A91,Organization!$A$13:$E$67,3,0)&amp;""</f>
        <v>Yes</v>
      </c>
      <c r="D91" s="41" t="str">
        <f>IF(LEFT(VLOOKUP($A91,Organization!$A$13:$E$67,5,0),21)='Auto Responses'!$A$73,'Auto Responses'!$A$74,VLOOKUP($A91,Organization!$A$13:$E$67,4,0))&amp;""</f>
        <v/>
      </c>
      <c r="E91" s="351" t="str">
        <f>VLOOKUP($A91,Organization!$A$13:$E$67,5,0)&amp;""</f>
        <v/>
      </c>
      <c r="F91" s="202"/>
      <c r="G91" s="37" t="str">
        <f>VLOOKUP($A91,Questions!$A$2:$X$333,21,0)&amp;""</f>
        <v>Yes</v>
      </c>
      <c r="H91" s="192"/>
      <c r="I91" s="52" t="str">
        <f>VLOOKUP($A91,Questions!$A$2:$X$333,23,0)&amp;""</f>
        <v>Critical Importance</v>
      </c>
      <c r="J91" s="192"/>
      <c r="K91" s="55" t="b">
        <v>0</v>
      </c>
      <c r="L91" s="1"/>
    </row>
    <row r="92" spans="1:12" s="36" customFormat="1" ht="105" x14ac:dyDescent="0.25">
      <c r="A92" s="25" t="str">
        <f>Organization!$A$33</f>
        <v>THRD-04</v>
      </c>
      <c r="B92" s="26" t="str">
        <f>VLOOKUP($A92,Organization!$A$13:$E$67,2,0)&amp;""</f>
        <v>Do you have an implemented third-party management strategy?*</v>
      </c>
      <c r="C92" s="52" t="str">
        <f>VLOOKUP($A92,Organization!$A$13:$E$67,3,0)&amp;""</f>
        <v>Yes</v>
      </c>
      <c r="D92" s="41" t="str">
        <f>IF(LEFT(VLOOKUP($A92,Organization!$A$13:$E$67,5,0),21)='Auto Responses'!$A$73,'Auto Responses'!$A$74,VLOOKUP($A92,Organization!$A$13:$E$67,4,0))&amp;""</f>
        <v>The Third-Party Management Policy and associated standard operating procedures are available upon request.</v>
      </c>
      <c r="E92" s="351" t="str">
        <f>VLOOKUP($A92,Organization!$A$13:$E$67,5,0)&amp;""</f>
        <v>Provide additional information that may help analysts better understand your environment and how it relates to third-party solutions.</v>
      </c>
      <c r="F92" s="202"/>
      <c r="G92" s="37" t="str">
        <f>VLOOKUP($A92,Questions!$A$2:$X$333,21,0)&amp;""</f>
        <v>Yes</v>
      </c>
      <c r="H92" s="192"/>
      <c r="I92" s="52" t="str">
        <f>VLOOKUP($A92,Questions!$A$2:$X$333,23,0)&amp;""</f>
        <v>Critical Importance</v>
      </c>
      <c r="J92" s="192"/>
      <c r="K92" s="55" t="b">
        <v>0</v>
      </c>
      <c r="L92" s="1"/>
    </row>
    <row r="93" spans="1:12" s="36" customFormat="1" ht="120" x14ac:dyDescent="0.25">
      <c r="A93" s="25" t="str">
        <f>Organization!$A$34</f>
        <v>THRD-05</v>
      </c>
      <c r="B93" s="26" t="str">
        <f>VLOOKUP($A93,Organization!$A$13:$E$67,2,0)&amp;""</f>
        <v>Do you have a process and implemented procedures for managing your hardware supply chain (e.g., telecommunications equipment, export licensing, computing devices)?</v>
      </c>
      <c r="C93" s="52" t="str">
        <f>VLOOKUP($A93,Organization!$A$13:$E$67,3,0)&amp;""</f>
        <v>Yes</v>
      </c>
      <c r="D93" s="41" t="str">
        <f>IF(LEFT(VLOOKUP($A93,Organization!$A$13:$E$67,5,0),21)='Auto Responses'!$A$73,'Auto Responses'!$A$74,VLOOKUP($A93,Organization!$A$13:$E$67,4,0))&amp;""</f>
        <v>Cirrus Identity Information Security Policy requires staff to use hardware manufactured (final assembly) by vendors not sanctioned by the US Government.</v>
      </c>
      <c r="E93" s="351" t="str">
        <f>VLOOKUP($A93,Organization!$A$13:$E$67,5,0)&amp;""</f>
        <v>State what countries and/or regions this process is compliant with.</v>
      </c>
      <c r="F93" s="202"/>
      <c r="G93" s="37" t="str">
        <f>VLOOKUP($A93,Questions!$A$2:$X$333,21,0)&amp;""</f>
        <v>Yes</v>
      </c>
      <c r="H93" s="192"/>
      <c r="I93" s="52" t="str">
        <f>VLOOKUP($A93,Questions!$A$2:$X$333,23,0)&amp;""</f>
        <v>Standard Importance</v>
      </c>
      <c r="J93" s="192"/>
      <c r="K93" s="55" t="b">
        <v>0</v>
      </c>
      <c r="L93" s="1"/>
    </row>
    <row r="94" spans="1:12" s="1" customFormat="1" ht="17.5" x14ac:dyDescent="0.25">
      <c r="A94" s="70" t="str">
        <f>VLOOKUP(LEFT($A95,4),'Auto Responses'!$N$4:$O$38,2,0)&amp;""</f>
        <v xml:space="preserve"> Change Management</v>
      </c>
      <c r="B94" s="29"/>
      <c r="C94" s="38"/>
      <c r="D94" s="38"/>
      <c r="E94" s="352"/>
      <c r="F94" s="139" t="s">
        <v>1089</v>
      </c>
      <c r="G94" s="359" t="s">
        <v>925</v>
      </c>
      <c r="H94" s="359" t="s">
        <v>927</v>
      </c>
      <c r="I94" s="359" t="s">
        <v>19</v>
      </c>
      <c r="J94" s="359" t="s">
        <v>912</v>
      </c>
      <c r="K94" s="38"/>
    </row>
    <row r="95" spans="1:12" s="36" customFormat="1" ht="240" x14ac:dyDescent="0.25">
      <c r="A95" s="25" t="str">
        <f>Organization!$A$36</f>
        <v>CHNG-01</v>
      </c>
      <c r="B95" s="26" t="str">
        <f>VLOOKUP($A95,Organization!$A$13:$E$67,2,0)&amp;""</f>
        <v>Will the institution be notified of major changes to your environment that could impact the institution's security posture?*</v>
      </c>
      <c r="C95" s="52" t="str">
        <f>VLOOKUP($A95,Organization!$A$13:$E$67,3,0)&amp;""</f>
        <v>Yes</v>
      </c>
      <c r="D95" s="41" t="str">
        <f>IF(LEFT(VLOOKUP($A95,Organization!$A$13:$E$67,5,0),21)='Auto Responses'!$A$73,'Auto Responses'!$A$74,VLOOKUP($A95,Organization!$A$13:$E$67,4,0))&amp;""</f>
        <v>Cirrus Identity assesses the impact of major changes on the services delivered. If the assessment indicates the security posture changes from what has been specified to customers, a communication will be sent to the operational contacts for each customer. This communication will take place as stipulated by contract.</v>
      </c>
      <c r="E95" s="351" t="str">
        <f>VLOOKUP($A95,Organization!$A$13:$E$67,5,0)&amp;""</f>
        <v>State how and when the institution will be notified of major changes to your environment.</v>
      </c>
      <c r="F95" s="202"/>
      <c r="G95" s="37" t="str">
        <f>VLOOKUP($A95,Questions!$A$2:$X$333,21,0)&amp;""</f>
        <v>Yes</v>
      </c>
      <c r="H95" s="192"/>
      <c r="I95" s="52" t="str">
        <f>VLOOKUP($A95,Questions!$A$2:$X$333,23,0)&amp;""</f>
        <v>Critical Importance</v>
      </c>
      <c r="J95" s="192"/>
      <c r="K95" s="55" t="b">
        <v>0</v>
      </c>
      <c r="L95" s="1"/>
    </row>
    <row r="96" spans="1:12" s="36" customFormat="1" ht="405" x14ac:dyDescent="0.25">
      <c r="A96" s="25" t="str">
        <f>Organization!$A$37</f>
        <v>CHNG-02</v>
      </c>
      <c r="B96" s="26" t="str">
        <f>VLOOKUP($A96,Organization!$A$13:$E$67,2,0)&amp;""</f>
        <v>Does the system support client customizations from one release to another?*</v>
      </c>
      <c r="C96" s="52" t="str">
        <f>VLOOKUP($A96,Organization!$A$13:$E$67,3,0)&amp;""</f>
        <v>Yes</v>
      </c>
      <c r="D96" s="41" t="str">
        <f>IF(LEFT(VLOOKUP($A96,Organization!$A$13:$E$67,5,0),21)='Auto Responses'!$A$73,'Auto Responses'!$A$74,VLOOKUP($A96,Organization!$A$13:$E$67,4,0))&amp;""</f>
        <v>In limited cases, Cirrus Identity will support custom configuration for individual customers -- usually implemented with a professional services agreement. Any custom functionality is implemented in the production code base and incorporated in our general CI/CD workflow so the custom functionality is maintained with any subsequent changes to services. Separate support, compliance, and accessibility conditions may apply to custom configuration; and would be reflected in the individual customer's subscription.</v>
      </c>
      <c r="E96" s="351" t="str">
        <f>VLOOKUP($A96,Organization!$A$13:$E$67,5,0)&amp;""</f>
        <v>Describe or provide reference to your solution support strategy in regard to maintaining client customizations from one release to another.</v>
      </c>
      <c r="F96" s="202"/>
      <c r="G96" s="37" t="str">
        <f>VLOOKUP($A96,Questions!$A$2:$X$333,21,0)&amp;""</f>
        <v>Yes</v>
      </c>
      <c r="H96" s="192"/>
      <c r="I96" s="52" t="str">
        <f>VLOOKUP($A96,Questions!$A$2:$X$333,23,0)&amp;""</f>
        <v>Critical Importance</v>
      </c>
      <c r="J96" s="192"/>
      <c r="K96" s="55" t="b">
        <v>0</v>
      </c>
      <c r="L96" s="1"/>
    </row>
    <row r="97" spans="1:12" s="36" customFormat="1" ht="285" x14ac:dyDescent="0.25">
      <c r="A97" s="25" t="str">
        <f>Organization!$A$38</f>
        <v>CHNG-03</v>
      </c>
      <c r="B97" s="26" t="str">
        <f>VLOOKUP($A97,Organization!$A$13:$E$67,2,0)&amp;""</f>
        <v>Do you have an implemented system configuration management process (e.g.,secure "gold" images, etc.)?*</v>
      </c>
      <c r="C97" s="52" t="str">
        <f>VLOOKUP($A97,Organization!$A$13:$E$67,3,0)&amp;""</f>
        <v>Yes</v>
      </c>
      <c r="D97" s="41" t="str">
        <f>IF(LEFT(VLOOKUP($A97,Organization!$A$13:$E$67,5,0),21)='Auto Responses'!$A$73,'Auto Responses'!$A$74,VLOOKUP($A97,Organization!$A$13:$E$67,4,0))&amp;""</f>
        <v>Infrastructure is configured using AWS CloudFormation or terraform (https://www.terraform.io/) solutions - aka "infrastructure as code".  The artifacts for these solutions are managed just like any other Cirrus Identity code and are maintained using git. container images are widely used to maintain containerized deployments within our Kubernetes based infrastructure.</v>
      </c>
      <c r="E97" s="351" t="str">
        <f>VLOOKUP($A97,Organization!$A$13:$E$67,5,0)&amp;""</f>
        <v>Summarize your implemented system configuration management precess.</v>
      </c>
      <c r="F97" s="202"/>
      <c r="G97" s="37" t="str">
        <f>VLOOKUP($A97,Questions!$A$2:$X$333,21,0)&amp;""</f>
        <v>Yes</v>
      </c>
      <c r="H97" s="192"/>
      <c r="I97" s="52" t="str">
        <f>VLOOKUP($A97,Questions!$A$2:$X$333,23,0)&amp;""</f>
        <v>Critical Importance</v>
      </c>
      <c r="J97" s="192"/>
      <c r="K97" s="55" t="b">
        <v>0</v>
      </c>
      <c r="L97" s="1"/>
    </row>
    <row r="98" spans="1:12" s="36" customFormat="1" ht="60" x14ac:dyDescent="0.25">
      <c r="A98" s="25" t="str">
        <f>Organization!$A$39</f>
        <v>CHNG-04</v>
      </c>
      <c r="B98" s="26" t="str">
        <f>VLOOKUP($A98,Organization!$A$13:$E$67,2,0)&amp;""</f>
        <v>Do you have a documented change management process?</v>
      </c>
      <c r="C98" s="52" t="str">
        <f>VLOOKUP($A98,Organization!$A$13:$E$67,3,0)&amp;""</f>
        <v>Yes</v>
      </c>
      <c r="D98" s="41" t="str">
        <f>IF(LEFT(VLOOKUP($A98,Organization!$A$13:$E$67,5,0),21)='Auto Responses'!$A$73,'Auto Responses'!$A$74,VLOOKUP($A98,Organization!$A$13:$E$67,4,0))&amp;""</f>
        <v>Change Management Policy and Procedure documents are available upon request.</v>
      </c>
      <c r="E98" s="351" t="str">
        <f>VLOOKUP($A98,Organization!$A$13:$E$67,5,0)&amp;""</f>
        <v>Summarize your current change management process.</v>
      </c>
      <c r="F98" s="202"/>
      <c r="G98" s="37" t="str">
        <f>VLOOKUP($A98,Questions!$A$2:$X$333,21,0)&amp;""</f>
        <v>Yes</v>
      </c>
      <c r="H98" s="192"/>
      <c r="I98" s="52" t="str">
        <f>VLOOKUP($A98,Questions!$A$2:$X$333,23,0)&amp;""</f>
        <v>Standard Importance</v>
      </c>
      <c r="J98" s="192"/>
      <c r="K98" s="55" t="b">
        <v>0</v>
      </c>
      <c r="L98" s="1"/>
    </row>
    <row r="99" spans="1:12" s="36" customFormat="1" ht="270" x14ac:dyDescent="0.25">
      <c r="A99" s="25" t="str">
        <f>Organization!$A$40</f>
        <v>CHNG-05</v>
      </c>
      <c r="B99" s="26" t="str">
        <f>VLOOKUP($A99,Organization!$A$13:$E$67,2,0)&amp;""</f>
        <v>Does your change management process minimally include authorization, impact analysis, testing, and validation before moving changes to production?</v>
      </c>
      <c r="C99" s="52" t="str">
        <f>VLOOKUP($A99,Organization!$A$13:$E$67,3,0)&amp;""</f>
        <v>Yes</v>
      </c>
      <c r="D99" s="41" t="str">
        <f>IF(LEFT(VLOOKUP($A99,Organization!$A$13:$E$67,5,0),21)='Auto Responses'!$A$73,'Auto Responses'!$A$74,VLOOKUP($A99,Organization!$A$13:$E$67,4,0))&amp;""</f>
        <v xml:space="preserve">The impact of the change takes place as part of our secure development life cycle, as the change is being developed. Before a specific change is authorized for deployment, there is both automated unit testing, and human performed QA validation.  </v>
      </c>
      <c r="E99" s="351" t="str">
        <f>VLOOKUP($A99,Organization!$A$13:$E$67,5,0)&amp;""</f>
        <v>Indicate all procedures that are implemented in your change management process. (a) An impact analysis of the upgrade is performed. (b) The change is appropriately authorized. (c) Changes are made first in a test environment. (d) The ability to implement the upgrades/changes in the production environment is limited to appropriate IT personnel.</v>
      </c>
      <c r="F99" s="202"/>
      <c r="G99" s="37" t="str">
        <f>VLOOKUP($A99,Questions!$A$2:$X$333,21,0)&amp;""</f>
        <v>Yes</v>
      </c>
      <c r="H99" s="192"/>
      <c r="I99" s="52" t="str">
        <f>VLOOKUP($A99,Questions!$A$2:$X$333,23,0)&amp;""</f>
        <v>Standard Importance</v>
      </c>
      <c r="J99" s="192"/>
      <c r="K99" s="55" t="b">
        <v>0</v>
      </c>
      <c r="L99" s="1"/>
    </row>
    <row r="100" spans="1:12" s="36" customFormat="1" ht="135" x14ac:dyDescent="0.25">
      <c r="A100" s="25" t="str">
        <f>Organization!$A$41</f>
        <v>CHNG-06</v>
      </c>
      <c r="B100" s="26" t="str">
        <f>VLOOKUP($A100,Organization!$A$13:$E$67,2,0)&amp;""</f>
        <v>Does your change management process verify that all required third-party libraries and dependencies are still supported with each major change?</v>
      </c>
      <c r="C100" s="52" t="str">
        <f>VLOOKUP($A100,Organization!$A$13:$E$67,3,0)&amp;""</f>
        <v>Yes</v>
      </c>
      <c r="D100" s="41" t="str">
        <f>IF(LEFT(VLOOKUP($A100,Organization!$A$13:$E$67,5,0),21)='Auto Responses'!$A$73,'Auto Responses'!$A$74,VLOOKUP($A100,Organization!$A$13:$E$67,4,0))&amp;""</f>
        <v>This is an area of active process improvement. Currently the CI/CD tooling performs static analysis of libraries at the time of building of new container images before deployment.</v>
      </c>
      <c r="E100" s="351" t="str">
        <f>VLOOKUP($A100,Organization!$A$13:$E$67,5,0)&amp;""</f>
        <v>Please describe your program to track these dependancies.</v>
      </c>
      <c r="F100" s="202"/>
      <c r="G100" s="37" t="str">
        <f>VLOOKUP($A100,Questions!$A$2:$X$333,21,0)&amp;""</f>
        <v>Yes</v>
      </c>
      <c r="H100" s="192"/>
      <c r="I100" s="52" t="str">
        <f>VLOOKUP($A100,Questions!$A$2:$X$333,23,0)&amp;""</f>
        <v>Standard Importance</v>
      </c>
      <c r="J100" s="192"/>
      <c r="K100" s="55" t="b">
        <v>0</v>
      </c>
      <c r="L100" s="1"/>
    </row>
    <row r="101" spans="1:12" s="36" customFormat="1" ht="120" x14ac:dyDescent="0.25">
      <c r="A101" s="25" t="str">
        <f>Organization!$A$42</f>
        <v>CHNG-07</v>
      </c>
      <c r="B101" s="26" t="str">
        <f>VLOOKUP($A101,Organization!$A$13:$E$67,2,0)&amp;""</f>
        <v>Do you have policy and procedure, currently implemented, managing how critical patches are applied to all systems and applications?</v>
      </c>
      <c r="C101" s="52" t="str">
        <f>VLOOKUP($A101,Organization!$A$13:$E$67,3,0)&amp;""</f>
        <v>Yes</v>
      </c>
      <c r="D101" s="41" t="str">
        <f>IF(LEFT(VLOOKUP($A101,Organization!$A$13:$E$67,5,0),21)='Auto Responses'!$A$73,'Auto Responses'!$A$74,VLOOKUP($A101,Organization!$A$13:$E$67,4,0))&amp;""</f>
        <v>The procedure on how critical patches are applied is covered by our Change Management Policy and Procedure document. It is available upon request.</v>
      </c>
      <c r="E101" s="351" t="str">
        <f>VLOOKUP($A101,Organization!$A$13:$E$67,5,0)&amp;""</f>
        <v>Summarize the policy and procedure(s) managing how critical patches are applied to systems and applications.</v>
      </c>
      <c r="F101" s="202"/>
      <c r="G101" s="37" t="str">
        <f>VLOOKUP($A101,Questions!$A$2:$X$333,21,0)&amp;""</f>
        <v>Yes</v>
      </c>
      <c r="H101" s="192"/>
      <c r="I101" s="52" t="str">
        <f>VLOOKUP($A101,Questions!$A$2:$X$333,23,0)&amp;""</f>
        <v>Standard Importance</v>
      </c>
      <c r="J101" s="192"/>
      <c r="K101" s="55" t="b">
        <v>0</v>
      </c>
      <c r="L101" s="1"/>
    </row>
    <row r="102" spans="1:12" s="36" customFormat="1" ht="135" x14ac:dyDescent="0.25">
      <c r="A102" s="25" t="str">
        <f>Organization!$A$43</f>
        <v>CHNG-08</v>
      </c>
      <c r="B102" s="26" t="str">
        <f>VLOOKUP($A102,Organization!$A$13:$E$67,2,0)&amp;""</f>
        <v>Have you implemented policies and procedures that guide how security risks are mitigated until patches can be applied?</v>
      </c>
      <c r="C102" s="52" t="str">
        <f>VLOOKUP($A102,Organization!$A$13:$E$67,3,0)&amp;""</f>
        <v>Yes</v>
      </c>
      <c r="D102" s="41" t="str">
        <f>IF(LEFT(VLOOKUP($A102,Organization!$A$13:$E$67,5,0),21)='Auto Responses'!$A$73,'Auto Responses'!$A$74,VLOOKUP($A102,Organization!$A$13:$E$67,4,0))&amp;""</f>
        <v>The procedure on how security risks are mitigated until patches can be applied is covered by our Change Management Policy and Procedure document. It is available upon request.</v>
      </c>
      <c r="E102" s="351" t="str">
        <f>VLOOKUP($A102,Organization!$A$13:$E$67,5,0)&amp;""</f>
        <v>Summarize the policy and procedure(s) guiding risk mitigation practices before critical patches can be applied.</v>
      </c>
      <c r="F102" s="202"/>
      <c r="G102" s="37" t="str">
        <f>VLOOKUP($A102,Questions!$A$2:$X$333,21,0)&amp;""</f>
        <v>Yes</v>
      </c>
      <c r="H102" s="192"/>
      <c r="I102" s="52" t="str">
        <f>VLOOKUP($A102,Questions!$A$2:$X$333,23,0)&amp;""</f>
        <v>Standard Importance</v>
      </c>
      <c r="J102" s="192"/>
      <c r="K102" s="55" t="b">
        <v>0</v>
      </c>
      <c r="L102" s="1"/>
    </row>
    <row r="103" spans="1:12" s="36" customFormat="1" ht="390" x14ac:dyDescent="0.25">
      <c r="A103" s="25" t="str">
        <f>Organization!$A$44</f>
        <v>CHNG-09</v>
      </c>
      <c r="B103" s="26" t="str">
        <f>VLOOKUP($A103,Organization!$A$13:$E$67,2,0)&amp;""</f>
        <v>Do clients have the option to not participate in or postpone an upgrade to a new release?</v>
      </c>
      <c r="C103" s="52" t="str">
        <f>VLOOKUP($A103,Organization!$A$13:$E$67,3,0)&amp;""</f>
        <v>No</v>
      </c>
      <c r="D103" s="41" t="str">
        <f>IF(LEFT(VLOOKUP($A103,Organization!$A$13:$E$67,5,0),21)='Auto Responses'!$A$73,'Auto Responses'!$A$74,VLOOKUP($A103,Organization!$A$13:$E$67,4,0))&amp;""</f>
        <v>Cirrus Identity offers "Software as a Service" and does not maintain individual releases for each customer. Any enhancements are either: 1) To address operational issues impacting one or more of customers 2) To improve functionality for all customers 3) Provide more functionality options that customers can either choose to implement or not -- usually by activating feature toggles. Any change that breaks existing operation for customers at the time of deployment would be considered a service issue, and would be addressed.</v>
      </c>
      <c r="E103" s="351" t="str">
        <f>VLOOKUP($A103,Organization!$A$13:$E$67,5,0)&amp;""</f>
        <v>Summarize why clients do not have alternative release options.</v>
      </c>
      <c r="F103" s="202"/>
      <c r="G103" s="37" t="str">
        <f>VLOOKUP($A103,Questions!$A$2:$X$333,21,0)&amp;""</f>
        <v>Yes</v>
      </c>
      <c r="H103" s="192"/>
      <c r="I103" s="52" t="str">
        <f>VLOOKUP($A103,Questions!$A$2:$X$333,23,0)&amp;""</f>
        <v>Minor Importance</v>
      </c>
      <c r="J103" s="192"/>
      <c r="K103" s="55" t="b">
        <v>0</v>
      </c>
      <c r="L103" s="1"/>
    </row>
    <row r="104" spans="1:12" s="36" customFormat="1" ht="195" x14ac:dyDescent="0.25">
      <c r="A104" s="25" t="str">
        <f>Organization!$A$45</f>
        <v>CHNG-10</v>
      </c>
      <c r="B104" s="26" t="str">
        <f>VLOOKUP($A104,Organization!$A$13:$E$67,2,0)&amp;""</f>
        <v>Do you have a fully implemented solution support strategy that defines how many concurrent versions you support?</v>
      </c>
      <c r="C104" s="52" t="str">
        <f>VLOOKUP($A104,Organization!$A$13:$E$67,3,0)&amp;""</f>
        <v>Yes</v>
      </c>
      <c r="D104" s="41" t="str">
        <f>IF(LEFT(VLOOKUP($A104,Organization!$A$13:$E$67,5,0),21)='Auto Responses'!$A$73,'Auto Responses'!$A$74,VLOOKUP($A104,Organization!$A$13:$E$67,4,0))&amp;""</f>
        <v>There is only the current service version in operation for all customers. Customers don't have access to pre-production or multiple versions of Cirrus Identity Services. As of 2025-04-30 the version as reflected by the Cirrus Identity Console is 4.14.5.</v>
      </c>
      <c r="E104" s="351" t="str">
        <f>VLOOKUP($A104,Organization!$A$13:$E$67,5,0)&amp;""</f>
        <v>Describe or provide a reference to your solution support strategy in regard to maintaining software currency (i.e., how many concurrent versions are you willing to run and support?).</v>
      </c>
      <c r="F104" s="202"/>
      <c r="G104" s="37" t="str">
        <f>VLOOKUP($A104,Questions!$A$2:$X$333,21,0)&amp;""</f>
        <v>Yes</v>
      </c>
      <c r="H104" s="192"/>
      <c r="I104" s="52" t="str">
        <f>VLOOKUP($A104,Questions!$A$2:$X$333,23,0)&amp;""</f>
        <v>Minor Importance</v>
      </c>
      <c r="J104" s="192"/>
      <c r="K104" s="55" t="b">
        <v>0</v>
      </c>
      <c r="L104" s="1"/>
    </row>
    <row r="105" spans="1:12" s="36" customFormat="1" ht="105" x14ac:dyDescent="0.25">
      <c r="A105" s="25" t="str">
        <f>Organization!$A$46</f>
        <v>CHNG-11</v>
      </c>
      <c r="B105" s="26" t="str">
        <f>VLOOKUP($A105,Organization!$A$13:$E$67,2,0)&amp;""</f>
        <v>Do you have a release schedule for product updates?</v>
      </c>
      <c r="C105" s="52" t="str">
        <f>VLOOKUP($A105,Organization!$A$13:$E$67,3,0)&amp;""</f>
        <v>Yes</v>
      </c>
      <c r="D105" s="41" t="str">
        <f>IF(LEFT(VLOOKUP($A105,Organization!$A$13:$E$67,5,0),21)='Auto Responses'!$A$73,'Auto Responses'!$A$74,VLOOKUP($A105,Organization!$A$13:$E$67,4,0))&amp;""</f>
        <v>Cirrus Identity uses a continuous integration and delivery (CI/CD) methodology to deliver services. Service changes occur on a continuous schedule.</v>
      </c>
      <c r="E105" s="351" t="str">
        <f>VLOOKUP($A105,Organization!$A$13:$E$67,5,0)&amp;""</f>
        <v>Provide a reference to this solution's release schedule.</v>
      </c>
      <c r="F105" s="202"/>
      <c r="G105" s="37" t="str">
        <f>VLOOKUP($A105,Questions!$A$2:$X$333,21,0)&amp;""</f>
        <v>Yes</v>
      </c>
      <c r="H105" s="192"/>
      <c r="I105" s="52" t="str">
        <f>VLOOKUP($A105,Questions!$A$2:$X$333,23,0)&amp;""</f>
        <v>Minor Importance</v>
      </c>
      <c r="J105" s="192"/>
      <c r="K105" s="55" t="b">
        <v>0</v>
      </c>
      <c r="L105" s="1"/>
    </row>
    <row r="106" spans="1:12" s="36" customFormat="1" ht="165" x14ac:dyDescent="0.25">
      <c r="A106" s="25" t="str">
        <f>Organization!$A$47</f>
        <v>CHNG-12</v>
      </c>
      <c r="B106" s="26" t="str">
        <f>VLOOKUP($A106,Organization!$A$13:$E$67,2,0)&amp;""</f>
        <v>Do you have a technology roadmap, for at least the next two years, for enhancements and bug fixes for the solution being assessed?</v>
      </c>
      <c r="C106" s="52" t="str">
        <f>VLOOKUP($A106,Organization!$A$13:$E$67,3,0)&amp;""</f>
        <v>Yes</v>
      </c>
      <c r="D106" s="41" t="str">
        <f>IF(LEFT(VLOOKUP($A106,Organization!$A$13:$E$67,5,0),21)='Auto Responses'!$A$73,'Auto Responses'!$A$74,VLOOKUP($A106,Organization!$A$13:$E$67,4,0))&amp;""</f>
        <v>Cirrus Identity maintains an internal roadmap to guide proposed changes, bug fixes, and enhancements. This roadmap is continually evaluated and aligned with the priorities of current and potential customers.</v>
      </c>
      <c r="E106" s="351" t="str">
        <f>VLOOKUP($A106,Organization!$A$13:$E$67,5,0)&amp;""</f>
        <v>Provide a reference to your technology roadmap.</v>
      </c>
      <c r="F106" s="202"/>
      <c r="G106" s="37" t="str">
        <f>VLOOKUP($A106,Questions!$A$2:$X$333,21,0)&amp;""</f>
        <v>Yes</v>
      </c>
      <c r="H106" s="192"/>
      <c r="I106" s="52" t="str">
        <f>VLOOKUP($A106,Questions!$A$2:$X$333,23,0)&amp;""</f>
        <v>Minor Importance</v>
      </c>
      <c r="J106" s="192"/>
      <c r="K106" s="55" t="b">
        <v>0</v>
      </c>
      <c r="L106" s="1"/>
    </row>
    <row r="107" spans="1:12" s="36" customFormat="1" ht="27" x14ac:dyDescent="0.25">
      <c r="A107" s="25" t="str">
        <f>Organization!$A$48</f>
        <v>CHNG-13</v>
      </c>
      <c r="B107" s="26" t="str">
        <f>VLOOKUP($A107,Organization!$A$13:$E$67,2,0)&amp;""</f>
        <v>Can solution updates be completed without institutional involvement (i.e., technically or organizationally)?</v>
      </c>
      <c r="C107" s="52" t="str">
        <f>VLOOKUP($A107,Organization!$A$13:$E$67,3,0)&amp;""</f>
        <v>Yes</v>
      </c>
      <c r="D107" s="41" t="str">
        <f>IF(LEFT(VLOOKUP($A107,Organization!$A$13:$E$67,5,0),21)='Auto Responses'!$A$73,'Auto Responses'!$A$74,VLOOKUP($A107,Organization!$A$13:$E$67,4,0))&amp;""</f>
        <v/>
      </c>
      <c r="E107" s="351" t="str">
        <f>VLOOKUP($A107,Organization!$A$13:$E$67,5,0)&amp;""</f>
        <v/>
      </c>
      <c r="F107" s="202"/>
      <c r="G107" s="37" t="str">
        <f>VLOOKUP($A107,Questions!$A$2:$X$333,21,0)&amp;""</f>
        <v>Yes</v>
      </c>
      <c r="H107" s="192"/>
      <c r="I107" s="52" t="str">
        <f>VLOOKUP($A107,Questions!$A$2:$X$333,23,0)&amp;""</f>
        <v>Minor Importance</v>
      </c>
      <c r="J107" s="192"/>
      <c r="K107" s="55" t="b">
        <v>0</v>
      </c>
      <c r="L107" s="1"/>
    </row>
    <row r="108" spans="1:12" s="36" customFormat="1" ht="300" x14ac:dyDescent="0.25">
      <c r="A108" s="25" t="str">
        <f>Organization!$A$49</f>
        <v>CHNG-14</v>
      </c>
      <c r="B108" s="26" t="str">
        <f>VLOOKUP($A108,Organization!$A$13:$E$67,2,0)&amp;""</f>
        <v>Are upgrades or system changes installed during off-peak hours or in a manner that does not impact the customer?</v>
      </c>
      <c r="C108" s="52" t="str">
        <f>VLOOKUP($A108,Organization!$A$13:$E$67,3,0)&amp;""</f>
        <v>Yes</v>
      </c>
      <c r="D108" s="41" t="str">
        <f>IF(LEFT(VLOOKUP($A108,Organization!$A$13:$E$67,5,0),21)='Auto Responses'!$A$73,'Auto Responses'!$A$74,VLOOKUP($A108,Organization!$A$13:$E$67,4,0))&amp;""</f>
        <v xml:space="preserve">A combination of rolling updates, parallel operation (blue-green deployment), and feature toggles are used to deploy service changes without impact to the customer. Internal usage metrics are used to schedule work during off-peak hours when that work is considered high-impact. Peak usage varies by Cirrus Identity service, time of year, and current customer deployments. </v>
      </c>
      <c r="E108" s="351" t="str">
        <f>VLOOKUP($A108,Organization!$A$13:$E$67,5,0)&amp;""</f>
        <v>Define current off-peak hours, including time zones as necessary.</v>
      </c>
      <c r="F108" s="202"/>
      <c r="G108" s="37" t="str">
        <f>VLOOKUP($A108,Questions!$A$2:$X$333,21,0)&amp;""</f>
        <v>Yes</v>
      </c>
      <c r="H108" s="192"/>
      <c r="I108" s="52" t="str">
        <f>VLOOKUP($A108,Questions!$A$2:$X$333,23,0)&amp;""</f>
        <v>Minor Importance</v>
      </c>
      <c r="J108" s="192"/>
      <c r="K108" s="55" t="b">
        <v>0</v>
      </c>
      <c r="L108" s="1"/>
    </row>
    <row r="109" spans="1:12" s="36" customFormat="1" ht="105" x14ac:dyDescent="0.25">
      <c r="A109" s="25" t="str">
        <f>Organization!$A$50</f>
        <v>CHNG-15</v>
      </c>
      <c r="B109" s="26" t="str">
        <f>VLOOKUP($A109,Organization!$A$13:$E$67,2,0)&amp;""</f>
        <v>Do procedures exist to provide that emergency changes are documented and authorized (including after-the-fact approval)?</v>
      </c>
      <c r="C109" s="52" t="str">
        <f>VLOOKUP($A109,Organization!$A$13:$E$67,3,0)&amp;""</f>
        <v>Yes</v>
      </c>
      <c r="D109" s="41" t="str">
        <f>IF(LEFT(VLOOKUP($A109,Organization!$A$13:$E$67,5,0),21)='Auto Responses'!$A$73,'Auto Responses'!$A$74,VLOOKUP($A109,Organization!$A$13:$E$67,4,0))&amp;""</f>
        <v>The procedure for emergency changes is defined by our Change Management Policy and Procedure document. It is available upon request.</v>
      </c>
      <c r="E109" s="351" t="str">
        <f>VLOOKUP($A109,Organization!$A$13:$E$67,5,0)&amp;""</f>
        <v>Summarize implemented procedures ensuring that emergency changes are documented and authorized.</v>
      </c>
      <c r="F109" s="202"/>
      <c r="G109" s="37" t="str">
        <f>VLOOKUP($A109,Questions!$A$2:$X$333,21,0)&amp;""</f>
        <v>Yes</v>
      </c>
      <c r="H109" s="192"/>
      <c r="I109" s="52" t="str">
        <f>VLOOKUP($A109,Questions!$A$2:$X$333,23,0)&amp;""</f>
        <v>Minor Importance</v>
      </c>
      <c r="J109" s="192"/>
      <c r="K109" s="55" t="b">
        <v>0</v>
      </c>
      <c r="L109" s="1"/>
    </row>
    <row r="110" spans="1:12" s="36" customFormat="1" ht="165" x14ac:dyDescent="0.25">
      <c r="A110" s="25" t="str">
        <f>Organization!$A$51</f>
        <v>CHNG-16</v>
      </c>
      <c r="B110" s="26" t="str">
        <f>VLOOKUP($A110,Organization!$A$13:$E$67,2,0)&amp;""</f>
        <v>Do you have a systems management and configuration strategy that encompasses servers, appliances, cloud services, applications, and mobile devices (company and employee owned)?</v>
      </c>
      <c r="C110" s="52" t="str">
        <f>VLOOKUP($A110,Organization!$A$13:$E$67,3,0)&amp;""</f>
        <v>Yes</v>
      </c>
      <c r="D110" s="41" t="str">
        <f>IF(LEFT(VLOOKUP($A110,Organization!$A$13:$E$67,5,0),21)='Auto Responses'!$A$73,'Auto Responses'!$A$74,VLOOKUP($A110,Organization!$A$13:$E$67,4,0))&amp;""</f>
        <v xml:space="preserve">Cirrus maintained virtual servers and containers are maintained as part of change management (see CHNG-03). Mobile devices are maintained by individual staff according to Cirrus Identity Information Security Policy. </v>
      </c>
      <c r="E110" s="351" t="str">
        <f>VLOOKUP($A110,Organization!$A$13:$E$67,5,0)&amp;""</f>
        <v>Summarize your systems management and configuration strategy.</v>
      </c>
      <c r="F110" s="202"/>
      <c r="G110" s="37" t="str">
        <f>VLOOKUP($A110,Questions!$A$2:$X$333,21,0)&amp;""</f>
        <v>Yes</v>
      </c>
      <c r="H110" s="192"/>
      <c r="I110" s="52" t="str">
        <f>VLOOKUP($A110,Questions!$A$2:$X$333,23,0)&amp;""</f>
        <v>Minor Importance</v>
      </c>
      <c r="J110" s="192"/>
      <c r="K110" s="55" t="b">
        <v>0</v>
      </c>
      <c r="L110" s="1"/>
    </row>
    <row r="111" spans="1:12" s="1" customFormat="1" ht="17.5" x14ac:dyDescent="0.25">
      <c r="A111" s="70" t="str">
        <f>VLOOKUP(LEFT($A112,4),'Auto Responses'!$N$4:$O$38,2,0)&amp;""</f>
        <v xml:space="preserve"> Policies, Processes, and Procedures</v>
      </c>
      <c r="B111" s="29"/>
      <c r="C111" s="38"/>
      <c r="D111" s="38"/>
      <c r="E111" s="352"/>
      <c r="F111" s="139" t="s">
        <v>1089</v>
      </c>
      <c r="G111" s="359" t="s">
        <v>925</v>
      </c>
      <c r="H111" s="359" t="s">
        <v>927</v>
      </c>
      <c r="I111" s="359" t="s">
        <v>19</v>
      </c>
      <c r="J111" s="359" t="s">
        <v>912</v>
      </c>
      <c r="K111" s="38"/>
    </row>
    <row r="112" spans="1:12" s="36" customFormat="1" ht="15" x14ac:dyDescent="0.25">
      <c r="A112" s="25" t="str">
        <f>Organization!$A$53</f>
        <v>PPPR-01</v>
      </c>
      <c r="B112" s="26" t="str">
        <f>VLOOKUP($A112,Organization!$A$13:$E$67,2,0)&amp;""</f>
        <v>Do you have a documented patch management process?*</v>
      </c>
      <c r="C112" s="52" t="str">
        <f>VLOOKUP($A112,Organization!$A$13:$E$67,3,0)&amp;""</f>
        <v>Yes</v>
      </c>
      <c r="D112" s="41" t="str">
        <f>IF(LEFT(VLOOKUP($A112,Organization!$A$13:$E$67,5,0),21)='Auto Responses'!$A$73,'Auto Responses'!$A$74,VLOOKUP($A112,Organization!$A$13:$E$67,4,0))&amp;""</f>
        <v/>
      </c>
      <c r="E112" s="351" t="str">
        <f>VLOOKUP($A112,Organization!$A$13:$E$67,5,0)&amp;""</f>
        <v/>
      </c>
      <c r="F112" s="202"/>
      <c r="G112" s="37" t="str">
        <f>VLOOKUP($A112,Questions!$A$2:$X$333,21,0)&amp;""</f>
        <v>Yes</v>
      </c>
      <c r="H112" s="192"/>
      <c r="I112" s="52" t="str">
        <f>VLOOKUP($A112,Questions!$A$2:$X$333,23,0)&amp;""</f>
        <v>Critical Importance</v>
      </c>
      <c r="J112" s="192"/>
      <c r="K112" s="55" t="b">
        <v>0</v>
      </c>
      <c r="L112" s="1"/>
    </row>
    <row r="113" spans="1:12" s="36" customFormat="1" ht="165" x14ac:dyDescent="0.25">
      <c r="A113" s="25" t="str">
        <f>Organization!$A$54</f>
        <v>PPPR-02</v>
      </c>
      <c r="B113" s="26" t="str">
        <f>VLOOKUP($A113,Organization!$A$13:$E$67,2,0)&amp;""</f>
        <v>Can your organization comply with institutional policies on privacy and data protection with regard to users of institutional systems, if required?*</v>
      </c>
      <c r="C113" s="52" t="str">
        <f>VLOOKUP($A113,Organization!$A$13:$E$67,3,0)&amp;""</f>
        <v>Yes</v>
      </c>
      <c r="D113" s="41" t="str">
        <f>IF(LEFT(VLOOKUP($A113,Organization!$A$13:$E$67,5,0),21)='Auto Responses'!$A$73,'Auto Responses'!$A$74,VLOOKUP($A113,Organization!$A$13:$E$67,4,0))&amp;""</f>
        <v xml:space="preserve">Any compliance requirements for institutional privacy and data protection policies must be captured by the contract process and reflected in the master terms governing the subscription for Cirrus Identity services. </v>
      </c>
      <c r="E113" s="351" t="str">
        <f>VLOOKUP($A113,Organization!$A$13:$E$67,5,0)&amp;""</f>
        <v>State that you have reviewed the institution's IT policies with regards to user privacy and data protection.</v>
      </c>
      <c r="F113" s="202"/>
      <c r="G113" s="37" t="str">
        <f>VLOOKUP($A113,Questions!$A$2:$X$333,21,0)&amp;""</f>
        <v>Yes</v>
      </c>
      <c r="H113" s="192"/>
      <c r="I113" s="52" t="str">
        <f>VLOOKUP($A113,Questions!$A$2:$X$333,23,0)&amp;""</f>
        <v>Critical Importance</v>
      </c>
      <c r="J113" s="192"/>
      <c r="K113" s="55" t="b">
        <v>0</v>
      </c>
      <c r="L113" s="1"/>
    </row>
    <row r="114" spans="1:12" s="36" customFormat="1" ht="27" x14ac:dyDescent="0.25">
      <c r="A114" s="25" t="str">
        <f>Organization!$A$55</f>
        <v>PPPR-03</v>
      </c>
      <c r="B114" s="26" t="str">
        <f>VLOOKUP($A114,Organization!$A$13:$E$67,2,0)&amp;""</f>
        <v>Is your company subject to the institution's geographic region's laws and regulations?*</v>
      </c>
      <c r="C114" s="52" t="str">
        <f>VLOOKUP($A114,Organization!$A$13:$E$67,3,0)&amp;""</f>
        <v>Yes</v>
      </c>
      <c r="D114" s="41" t="str">
        <f>IF(LEFT(VLOOKUP($A114,Organization!$A$13:$E$67,5,0),21)='Auto Responses'!$A$73,'Auto Responses'!$A$74,VLOOKUP($A114,Organization!$A$13:$E$67,4,0))&amp;""</f>
        <v/>
      </c>
      <c r="E114" s="351" t="str">
        <f>VLOOKUP($A114,Organization!$A$13:$E$67,5,0)&amp;""</f>
        <v/>
      </c>
      <c r="F114" s="202"/>
      <c r="G114" s="37" t="str">
        <f>VLOOKUP($A114,Questions!$A$2:$X$333,21,0)&amp;""</f>
        <v>Yes</v>
      </c>
      <c r="H114" s="192"/>
      <c r="I114" s="52" t="str">
        <f>VLOOKUP($A114,Questions!$A$2:$X$333,23,0)&amp;""</f>
        <v>Critical Importance</v>
      </c>
      <c r="J114" s="192"/>
      <c r="K114" s="55" t="b">
        <v>0</v>
      </c>
      <c r="L114" s="1"/>
    </row>
    <row r="115" spans="1:12" s="36" customFormat="1" ht="15" x14ac:dyDescent="0.25">
      <c r="A115" s="25" t="str">
        <f>Organization!$A$56</f>
        <v>PPPR-04</v>
      </c>
      <c r="B115" s="26" t="str">
        <f>VLOOKUP($A115,Organization!$A$13:$E$67,2,0)&amp;""</f>
        <v>Can you accommodate encryption requirements using open standards?</v>
      </c>
      <c r="C115" s="52" t="str">
        <f>VLOOKUP($A115,Organization!$A$13:$E$67,3,0)&amp;""</f>
        <v>Yes</v>
      </c>
      <c r="D115" s="41" t="str">
        <f>IF(LEFT(VLOOKUP($A115,Organization!$A$13:$E$67,5,0),21)='Auto Responses'!$A$73,'Auto Responses'!$A$74,VLOOKUP($A115,Organization!$A$13:$E$67,4,0))&amp;""</f>
        <v/>
      </c>
      <c r="E115" s="351" t="str">
        <f>VLOOKUP($A115,Organization!$A$13:$E$67,5,0)&amp;""</f>
        <v/>
      </c>
      <c r="F115" s="202"/>
      <c r="G115" s="37" t="str">
        <f>VLOOKUP($A115,Questions!$A$2:$X$333,21,0)&amp;""</f>
        <v>Yes</v>
      </c>
      <c r="H115" s="192"/>
      <c r="I115" s="52" t="str">
        <f>VLOOKUP($A115,Questions!$A$2:$X$333,23,0)&amp;""</f>
        <v>Standard Importance</v>
      </c>
      <c r="J115" s="192"/>
      <c r="K115" s="55" t="b">
        <v>0</v>
      </c>
      <c r="L115" s="1"/>
    </row>
    <row r="116" spans="1:12" s="36" customFormat="1" ht="150" x14ac:dyDescent="0.25">
      <c r="A116" s="25" t="str">
        <f>Organization!$A$57</f>
        <v>PPPR-05</v>
      </c>
      <c r="B116" s="26" t="str">
        <f>VLOOKUP($A116,Organization!$A$13:$E$67,2,0)&amp;""</f>
        <v>Do you have a documented systems development life cycle (SDLC)?</v>
      </c>
      <c r="C116" s="52" t="str">
        <f>VLOOKUP($A116,Organization!$A$13:$E$67,3,0)&amp;""</f>
        <v>Yes</v>
      </c>
      <c r="D116" s="41" t="str">
        <f>IF(LEFT(VLOOKUP($A116,Organization!$A$13:$E$67,5,0),21)='Auto Responses'!$A$73,'Auto Responses'!$A$74,VLOOKUP($A116,Organization!$A$13:$E$67,4,0))&amp;""</f>
        <v xml:space="preserve">System Development Life Cycle is documented as part of the Cirrus Identity Change Management Policy and Procedure. The Cirrus Identity Change Management Policy and Procedure is available upon request. </v>
      </c>
      <c r="E116" s="351" t="str">
        <f>VLOOKUP($A116,Organization!$A$13:$E$67,5,0)&amp;""</f>
        <v>Briefly summarize your SDLC or provide a link or attachment.</v>
      </c>
      <c r="F116" s="202"/>
      <c r="G116" s="37" t="str">
        <f>VLOOKUP($A116,Questions!$A$2:$X$333,21,0)&amp;""</f>
        <v>Yes</v>
      </c>
      <c r="H116" s="192"/>
      <c r="I116" s="52" t="str">
        <f>VLOOKUP($A116,Questions!$A$2:$X$333,23,0)&amp;""</f>
        <v>Standard Importance</v>
      </c>
      <c r="J116" s="192"/>
      <c r="K116" s="55" t="b">
        <v>0</v>
      </c>
      <c r="L116" s="1"/>
    </row>
    <row r="117" spans="1:12" s="36" customFormat="1" ht="60" x14ac:dyDescent="0.25">
      <c r="A117" s="25" t="str">
        <f>Organization!$A$58</f>
        <v>PPPR-06</v>
      </c>
      <c r="B117" s="26" t="str">
        <f>VLOOKUP($A117,Organization!$A$13:$E$67,2,0)&amp;""</f>
        <v>Do you perform background screenings or multi-state background checks on all employees prior to their first day of work?</v>
      </c>
      <c r="C117" s="52" t="str">
        <f>VLOOKUP($A117,Organization!$A$13:$E$67,3,0)&amp;""</f>
        <v>Yes</v>
      </c>
      <c r="D117" s="41" t="str">
        <f>IF(LEFT(VLOOKUP($A117,Organization!$A$13:$E$67,5,0),21)='Auto Responses'!$A$73,'Auto Responses'!$A$74,VLOOKUP($A117,Organization!$A$13:$E$67,4,0))&amp;""</f>
        <v>Cirrus Identity performs criminal background checks for  all staff.</v>
      </c>
      <c r="E117" s="351" t="str">
        <f>VLOOKUP($A117,Organization!$A$13:$E$67,5,0)&amp;""</f>
        <v>Summarize your background check practices.</v>
      </c>
      <c r="F117" s="202"/>
      <c r="G117" s="37" t="str">
        <f>VLOOKUP($A117,Questions!$A$2:$X$333,21,0)&amp;""</f>
        <v>Yes</v>
      </c>
      <c r="H117" s="192"/>
      <c r="I117" s="52" t="str">
        <f>VLOOKUP($A117,Questions!$A$2:$X$333,23,0)&amp;""</f>
        <v>Standard Importance</v>
      </c>
      <c r="J117" s="192"/>
      <c r="K117" s="55" t="b">
        <v>0</v>
      </c>
      <c r="L117" s="1"/>
    </row>
    <row r="118" spans="1:12" s="36" customFormat="1" ht="105" x14ac:dyDescent="0.25">
      <c r="A118" s="25" t="str">
        <f>Organization!$A$59</f>
        <v>PPPR-07</v>
      </c>
      <c r="B118" s="26" t="str">
        <f>VLOOKUP($A118,Organization!$A$13:$E$67,2,0)&amp;""</f>
        <v>Do you require new employees to fill out agreements and review policies?</v>
      </c>
      <c r="C118" s="52" t="str">
        <f>VLOOKUP($A118,Organization!$A$13:$E$67,3,0)&amp;""</f>
        <v>Yes</v>
      </c>
      <c r="D118" s="41" t="str">
        <f>IF(LEFT(VLOOKUP($A118,Organization!$A$13:$E$67,5,0),21)='Auto Responses'!$A$73,'Auto Responses'!$A$74,VLOOKUP($A118,Organization!$A$13:$E$67,4,0))&amp;""</f>
        <v>New employees fill out an employment agreement, and review policies as managed by Cirrus Identity's compliance platform (Vanta).</v>
      </c>
      <c r="E118" s="351" t="str">
        <f>VLOOKUP($A118,Organization!$A$13:$E$67,5,0)&amp;""</f>
        <v>Summarize the required agreements and reviewed policies.</v>
      </c>
      <c r="F118" s="202"/>
      <c r="G118" s="37" t="str">
        <f>VLOOKUP($A118,Questions!$A$2:$X$333,21,0)&amp;""</f>
        <v>Yes</v>
      </c>
      <c r="H118" s="192"/>
      <c r="I118" s="52" t="str">
        <f>VLOOKUP($A118,Questions!$A$2:$X$333,23,0)&amp;""</f>
        <v>Standard Importance</v>
      </c>
      <c r="J118" s="192"/>
      <c r="K118" s="55" t="b">
        <v>0</v>
      </c>
      <c r="L118" s="1"/>
    </row>
    <row r="119" spans="1:12" s="36" customFormat="1" ht="90" x14ac:dyDescent="0.25">
      <c r="A119" s="25" t="str">
        <f>Organization!$A$60</f>
        <v>PPPR-08</v>
      </c>
      <c r="B119" s="26" t="str">
        <f>VLOOKUP($A119,Organization!$A$13:$E$67,2,0)&amp;""</f>
        <v>Do you have a documented information security policy?</v>
      </c>
      <c r="C119" s="52" t="str">
        <f>VLOOKUP($A119,Organization!$A$13:$E$67,3,0)&amp;""</f>
        <v>Yes</v>
      </c>
      <c r="D119" s="41" t="str">
        <f>IF(LEFT(VLOOKUP($A119,Organization!$A$13:$E$67,5,0),21)='Auto Responses'!$A$73,'Auto Responses'!$A$74,VLOOKUP($A119,Organization!$A$13:$E$67,4,0))&amp;""</f>
        <v>The Cirrus Identity Information Security Policy is available upon request.</v>
      </c>
      <c r="E119" s="351" t="str">
        <f>VLOOKUP($A119,Organization!$A$13:$E$67,5,0)&amp;""</f>
        <v>Provide a reference to your information security policy or submit documentation with this fully populated HECVAT.</v>
      </c>
      <c r="F119" s="202"/>
      <c r="G119" s="37" t="str">
        <f>VLOOKUP($A119,Questions!$A$2:$X$333,21,0)&amp;""</f>
        <v>Yes</v>
      </c>
      <c r="H119" s="192"/>
      <c r="I119" s="52" t="str">
        <f>VLOOKUP($A119,Questions!$A$2:$X$333,23,0)&amp;""</f>
        <v>Standard Importance</v>
      </c>
      <c r="J119" s="192"/>
      <c r="K119" s="55" t="b">
        <v>0</v>
      </c>
      <c r="L119" s="1"/>
    </row>
    <row r="120" spans="1:12" s="36" customFormat="1" ht="75" x14ac:dyDescent="0.25">
      <c r="A120" s="25" t="str">
        <f>Organization!$A$61</f>
        <v>PPPR-09</v>
      </c>
      <c r="B120" s="26" t="str">
        <f>VLOOKUP($A120,Organization!$A$13:$E$67,2,0)&amp;""</f>
        <v>Are information security principles designed into the product lifecycle?</v>
      </c>
      <c r="C120" s="52" t="str">
        <f>VLOOKUP($A120,Organization!$A$13:$E$67,3,0)&amp;""</f>
        <v>Yes</v>
      </c>
      <c r="D120" s="41" t="str">
        <f>IF(LEFT(VLOOKUP($A120,Organization!$A$13:$E$67,5,0),21)='Auto Responses'!$A$73,'Auto Responses'!$A$74,VLOOKUP($A120,Organization!$A$13:$E$67,4,0))&amp;""</f>
        <v xml:space="preserve">Cirrus Identity uses OWASP and other security guidance for design of Cirrus Identity services. </v>
      </c>
      <c r="E120" s="351" t="str">
        <f>VLOOKUP($A120,Organization!$A$13:$E$67,5,0)&amp;""</f>
        <v>Summarize the information security principles designed into the product lifecycle.</v>
      </c>
      <c r="F120" s="202"/>
      <c r="G120" s="37" t="str">
        <f>VLOOKUP($A120,Questions!$A$2:$X$333,21,0)&amp;""</f>
        <v>Yes</v>
      </c>
      <c r="H120" s="192"/>
      <c r="I120" s="52" t="str">
        <f>VLOOKUP($A120,Questions!$A$2:$X$333,23,0)&amp;""</f>
        <v>Minor Importance</v>
      </c>
      <c r="J120" s="192"/>
      <c r="K120" s="55" t="b">
        <v>0</v>
      </c>
      <c r="L120" s="1"/>
    </row>
    <row r="121" spans="1:12" s="36" customFormat="1" ht="150" x14ac:dyDescent="0.25">
      <c r="A121" s="25" t="str">
        <f>Organization!$A$62</f>
        <v>PPPR-10</v>
      </c>
      <c r="B121" s="26" t="str">
        <f>VLOOKUP($A121,Organization!$A$13:$E$67,2,0)&amp;""</f>
        <v>Will you comply with applicable breach notification laws?</v>
      </c>
      <c r="C121" s="52" t="str">
        <f>VLOOKUP($A121,Organization!$A$13:$E$67,3,0)&amp;""</f>
        <v>Yes</v>
      </c>
      <c r="D121" s="41" t="str">
        <f>IF(LEFT(VLOOKUP($A121,Organization!$A$13:$E$67,5,0),21)='Auto Responses'!$A$73,'Auto Responses'!$A$74,VLOOKUP($A121,Organization!$A$13:$E$67,4,0))&amp;""</f>
        <v>Any compliance requirements for applicable breach notification laws must be captured by the contract process and reflected in the master terms governing the subscription for Cirrus Identity services.</v>
      </c>
      <c r="E121" s="351" t="str">
        <f>VLOOKUP($A121,Organization!$A$13:$E$67,5,0)&amp;""</f>
        <v>State how quickly the institution will be notified of a data breach or security incident.</v>
      </c>
      <c r="F121" s="202"/>
      <c r="G121" s="37" t="str">
        <f>VLOOKUP($A121,Questions!$A$2:$X$333,21,0)&amp;""</f>
        <v>Yes</v>
      </c>
      <c r="H121" s="192"/>
      <c r="I121" s="52" t="str">
        <f>VLOOKUP($A121,Questions!$A$2:$X$333,23,0)&amp;""</f>
        <v>Minor Importance</v>
      </c>
      <c r="J121" s="192"/>
      <c r="K121" s="55" t="b">
        <v>0</v>
      </c>
      <c r="L121" s="1"/>
    </row>
    <row r="122" spans="1:12" s="36" customFormat="1" ht="105" x14ac:dyDescent="0.25">
      <c r="A122" s="25" t="str">
        <f>Organization!$A$63</f>
        <v>PPPR-11</v>
      </c>
      <c r="B122" s="26" t="str">
        <f>VLOOKUP($A122,Organization!$A$13:$E$67,2,0)&amp;""</f>
        <v>Do you have an information security awareness program?</v>
      </c>
      <c r="C122" s="52" t="str">
        <f>VLOOKUP($A122,Organization!$A$13:$E$67,3,0)&amp;""</f>
        <v>Yes</v>
      </c>
      <c r="D122" s="41" t="str">
        <f>IF(LEFT(VLOOKUP($A122,Organization!$A$13:$E$67,5,0),21)='Auto Responses'!$A$73,'Auto Responses'!$A$74,VLOOKUP($A122,Organization!$A$13:$E$67,4,0))&amp;""</f>
        <v xml:space="preserve">
An information security awareness program is delivered by Cirrus Identity's compliance platform (Vanta) during onboarding.</v>
      </c>
      <c r="E122" s="351" t="str">
        <f>VLOOKUP($A122,Organization!$A$13:$E$67,5,0)&amp;""</f>
        <v>Summarize your information security awareness program.</v>
      </c>
      <c r="F122" s="202"/>
      <c r="G122" s="37" t="str">
        <f>VLOOKUP($A122,Questions!$A$2:$X$333,21,0)&amp;""</f>
        <v>Yes</v>
      </c>
      <c r="H122" s="192"/>
      <c r="I122" s="52" t="str">
        <f>VLOOKUP($A122,Questions!$A$2:$X$333,23,0)&amp;""</f>
        <v>Minor Importance</v>
      </c>
      <c r="J122" s="192"/>
      <c r="K122" s="55" t="b">
        <v>0</v>
      </c>
      <c r="L122" s="1"/>
    </row>
    <row r="123" spans="1:12" s="36" customFormat="1" ht="120" x14ac:dyDescent="0.25">
      <c r="A123" s="25" t="str">
        <f>Organization!$A$64</f>
        <v>PPPR-12</v>
      </c>
      <c r="B123" s="26" t="str">
        <f>VLOOKUP($A123,Organization!$A$13:$E$67,2,0)&amp;""</f>
        <v>Is security awareness training mandatory for all employees?</v>
      </c>
      <c r="C123" s="52" t="str">
        <f>VLOOKUP($A123,Organization!$A$13:$E$67,3,0)&amp;""</f>
        <v>Yes</v>
      </c>
      <c r="D123" s="41" t="str">
        <f>IF(LEFT(VLOOKUP($A123,Organization!$A$13:$E$67,5,0),21)='Auto Responses'!$A$73,'Auto Responses'!$A$74,VLOOKUP($A123,Organization!$A$13:$E$67,4,0))&amp;""</f>
        <v>Security awareness training is delivered by Cirrus Identity's compliance platform (Vanta) during new staff onboarding, and annually for all current staff.</v>
      </c>
      <c r="E123" s="351" t="str">
        <f>VLOOKUP($A123,Organization!$A$13:$E$67,5,0)&amp;""</f>
        <v>Summarize your security awareness training content and state how frequently employees are required to undergo security awareness training.</v>
      </c>
      <c r="F123" s="202"/>
      <c r="G123" s="37" t="str">
        <f>VLOOKUP($A123,Questions!$A$2:$X$333,21,0)&amp;""</f>
        <v>Yes</v>
      </c>
      <c r="H123" s="192"/>
      <c r="I123" s="52" t="str">
        <f>VLOOKUP($A123,Questions!$A$2:$X$333,23,0)&amp;""</f>
        <v>Minor Importance</v>
      </c>
      <c r="J123" s="192"/>
      <c r="K123" s="55" t="b">
        <v>0</v>
      </c>
      <c r="L123" s="1"/>
    </row>
    <row r="124" spans="1:12" s="36" customFormat="1" ht="210" x14ac:dyDescent="0.25">
      <c r="A124" s="25" t="str">
        <f>Organization!$A$65</f>
        <v>PPPR-13</v>
      </c>
      <c r="B124" s="26" t="str">
        <f>VLOOKUP($A124,Organization!$A$13:$E$67,2,0)&amp;""</f>
        <v>Do you have process and procedure(s) documented, and currently followed, that require a review and update of the access list(s) for privileged accounts?</v>
      </c>
      <c r="C124" s="52" t="str">
        <f>VLOOKUP($A124,Organization!$A$13:$E$67,3,0)&amp;""</f>
        <v>Yes</v>
      </c>
      <c r="D124" s="41" t="str">
        <f>IF(LEFT(VLOOKUP($A124,Organization!$A$13:$E$67,5,0),21)='Auto Responses'!$A$73,'Auto Responses'!$A$74,VLOOKUP($A124,Organization!$A$13:$E$67,4,0))&amp;""</f>
        <v xml:space="preserve">Access review procedures are documented by the Cirrus Identity Access Control Policy. Reviews occur at least annually and also required during specific events (for example employee changes, or major service changes). The Cirrus Identity Access Control Policy is available upon request. </v>
      </c>
      <c r="E124" s="351" t="str">
        <f>VLOOKUP($A124,Organization!$A$13:$E$67,5,0)&amp;""</f>
        <v>Provide a brief summary and the implement review interval.</v>
      </c>
      <c r="F124" s="202"/>
      <c r="G124" s="37" t="str">
        <f>VLOOKUP($A124,Questions!$A$2:$X$333,21,0)&amp;""</f>
        <v>Yes</v>
      </c>
      <c r="H124" s="192"/>
      <c r="I124" s="52" t="str">
        <f>VLOOKUP($A124,Questions!$A$2:$X$333,23,0)&amp;""</f>
        <v>Minor Importance</v>
      </c>
      <c r="J124" s="192"/>
      <c r="K124" s="55" t="b">
        <v>0</v>
      </c>
      <c r="L124" s="1"/>
    </row>
    <row r="125" spans="1:12" s="36" customFormat="1" ht="240" x14ac:dyDescent="0.25">
      <c r="A125" s="25" t="str">
        <f>Organization!$A$66</f>
        <v>PPPR-14</v>
      </c>
      <c r="B125" s="26" t="str">
        <f>VLOOKUP($A125,Organization!$A$13:$E$67,2,0)&amp;""</f>
        <v>Do you have documented, and currently implemented, internal audit processes and procedures?</v>
      </c>
      <c r="C125" s="52" t="str">
        <f>VLOOKUP($A125,Organization!$A$13:$E$67,3,0)&amp;""</f>
        <v>Yes</v>
      </c>
      <c r="D125" s="41" t="str">
        <f>IF(LEFT(VLOOKUP($A125,Organization!$A$13:$E$67,5,0),21)='Auto Responses'!$A$73,'Auto Responses'!$A$74,VLOOKUP($A125,Organization!$A$13:$E$67,4,0))&amp;""</f>
        <v>Cirrus Identity has a documented Security Assessment Policy, has implemented a compliance management solution (Vanta), and has agreements with both a penetration testing firm (Rapid7) and an external audit firm (Prescient Assurance). The Cirrus Identity Security Assessment Policy is available upon request.</v>
      </c>
      <c r="E125" s="351" t="str">
        <f>VLOOKUP($A125,Organization!$A$13:$E$67,5,0)&amp;""</f>
        <v>Summarize your internal audit processes and procedures.</v>
      </c>
      <c r="F125" s="202"/>
      <c r="G125" s="37" t="str">
        <f>VLOOKUP($A125,Questions!$A$2:$X$333,21,0)&amp;""</f>
        <v>Yes</v>
      </c>
      <c r="H125" s="192"/>
      <c r="I125" s="52" t="str">
        <f>VLOOKUP($A125,Questions!$A$2:$X$333,23,0)&amp;""</f>
        <v>Minor Importance</v>
      </c>
      <c r="J125" s="192"/>
      <c r="K125" s="55" t="b">
        <v>0</v>
      </c>
      <c r="L125" s="1"/>
    </row>
    <row r="126" spans="1:12" s="36" customFormat="1" ht="195.5" thickBot="1" x14ac:dyDescent="0.3">
      <c r="A126" s="25" t="str">
        <f>Organization!$A$67</f>
        <v>PPPR-15</v>
      </c>
      <c r="B126" s="26" t="str">
        <f>VLOOKUP($A126,Organization!$A$13:$E$67,2,0)&amp;""</f>
        <v>Does your organization have physical security controls and policies in place?</v>
      </c>
      <c r="C126" s="52" t="str">
        <f>VLOOKUP($A126,Organization!$A$13:$E$67,3,0)&amp;""</f>
        <v>Yes</v>
      </c>
      <c r="D126" s="41" t="str">
        <f>IF(LEFT(VLOOKUP($A126,Organization!$A$13:$E$67,5,0),21)='Auto Responses'!$A$73,'Auto Responses'!$A$74,VLOOKUP($A126,Organization!$A$13:$E$67,4,0))&amp;""</f>
        <v>Cirrus Identity is a virtual organization with staff working remote and services run from AWS. To the extent physical security controls are needed, they are addressed as part of the Cirrus Identity Information Security Policy, which is available upon request.</v>
      </c>
      <c r="E126" s="351" t="str">
        <f>VLOOKUP($A126,Organization!$A$13:$E$67,5,0)&amp;""</f>
        <v>Provide a copy of your physical security controls and policies along with this document (link or attached).</v>
      </c>
      <c r="F126" s="202"/>
      <c r="G126" s="37" t="str">
        <f>VLOOKUP($A126,Questions!$A$2:$X$333,21,0)&amp;""</f>
        <v>Yes</v>
      </c>
      <c r="H126" s="192"/>
      <c r="I126" s="52" t="str">
        <f>VLOOKUP($A126,Questions!$A$2:$X$333,23,0)&amp;""</f>
        <v>Minor Importance</v>
      </c>
      <c r="J126" s="192"/>
      <c r="K126" s="56" t="b">
        <v>0</v>
      </c>
      <c r="L126" s="1"/>
    </row>
    <row r="127" spans="1:12" s="1" customFormat="1" ht="17.5" x14ac:dyDescent="0.25">
      <c r="A127" s="70" t="str">
        <f>VLOOKUP(LEFT($A128,4),'Auto Responses'!$N$4:$O$38,2,0)&amp;""</f>
        <v xml:space="preserve"> Authentication, Authorization, and Account Management</v>
      </c>
      <c r="B127" s="29"/>
      <c r="C127" s="38"/>
      <c r="D127" s="38"/>
      <c r="E127" s="352"/>
      <c r="F127" s="139" t="s">
        <v>1089</v>
      </c>
      <c r="G127" s="359" t="s">
        <v>925</v>
      </c>
      <c r="H127" s="359" t="s">
        <v>927</v>
      </c>
      <c r="I127" s="359" t="s">
        <v>19</v>
      </c>
      <c r="J127" s="359" t="s">
        <v>912</v>
      </c>
      <c r="K127" s="38"/>
    </row>
    <row r="128" spans="1:12" s="36" customFormat="1" ht="345" x14ac:dyDescent="0.25">
      <c r="A128" s="25" t="str">
        <f>Product!$A$20</f>
        <v>AAAI-01</v>
      </c>
      <c r="B128" s="26" t="str">
        <f>VLOOKUP($A128,Product!$A$13:$E$61,2,0)&amp;""</f>
        <v>Does your solution support single sign-on (SSO) protocols for user and administrator authentication?*</v>
      </c>
      <c r="C128" s="52" t="str">
        <f>VLOOKUP($A128,Product!$A$13:$E$61,3,0)&amp;""</f>
        <v>Yes</v>
      </c>
      <c r="D128" s="41" t="str">
        <f>IF(LEFT(VLOOKUP($A128,Product!$A$13:$E$61,5,0),21)='Auto Responses'!$A$73,'Auto Responses'!$A$74,VLOOKUP($A128,Product!$A$13:$E$61,4,0))&amp;""</f>
        <v xml:space="preserve">The majority of Cirrus Identity Products utilizes web application single sign-on (WebSSO) protocols for either end user or administrator authentication. Cirrus Identity Products defer to the source identity provider for the strength of the authentication. Cirrus Identity offers the Cirrus Identity OrgBrandedID which is a hosted light weight SAML V2 Identity Provider that can be used by end users that do not have another identity provider option. </v>
      </c>
      <c r="E128" s="351" t="str">
        <f>VLOOKUP($A128,Product!$A$13:$E$61,5,0)&amp;""</f>
        <v>Describe how strong authentication is enforced (e.g., complex passwords, multifactor tokens, certificates, biometrics, aging requirements, re-use policy).</v>
      </c>
      <c r="F128" s="202"/>
      <c r="G128" s="37" t="str">
        <f>VLOOKUP($A128,Questions!$A$2:$X$333,21,0)&amp;""</f>
        <v>Yes</v>
      </c>
      <c r="H128" s="192"/>
      <c r="I128" s="52" t="str">
        <f>VLOOKUP($A128,Questions!$A$2:$X$333,23,0)&amp;""</f>
        <v>Critical Importance</v>
      </c>
      <c r="J128" s="192"/>
      <c r="K128" s="55" t="b">
        <v>0</v>
      </c>
      <c r="L128" s="1"/>
    </row>
    <row r="129" spans="1:12" s="36" customFormat="1" ht="105" x14ac:dyDescent="0.25">
      <c r="A129" s="25" t="str">
        <f>Product!$A$21</f>
        <v>AAAI-02</v>
      </c>
      <c r="B129" s="26" t="str">
        <f>VLOOKUP($A129,Product!$A$13:$E$61,2,0)&amp;""</f>
        <v>For customers not using SSO, does your solution support local authentication protocols for user and administrator authentication?*</v>
      </c>
      <c r="C129" s="52" t="str">
        <f>VLOOKUP($A129,Product!$A$13:$E$61,3,0)&amp;""</f>
        <v>No</v>
      </c>
      <c r="D129" s="41" t="str">
        <f>IF(LEFT(VLOOKUP($A129,Product!$A$13:$E$61,5,0),21)='Auto Responses'!$A$73,'Auto Responses'!$A$74,VLOOKUP($A129,Product!$A$13:$E$61,4,0))&amp;""</f>
        <v>Cirrus Identity PRoducts utilize web application single sign-on (WebSSO) protocols for either end user or administrator authentication.</v>
      </c>
      <c r="E129" s="351" t="str">
        <f>VLOOKUP($A129,Product!$A$13:$E$61,5,0)&amp;""</f>
        <v>Describe any plans to support local authentication modes.</v>
      </c>
      <c r="F129" s="202"/>
      <c r="G129" s="37" t="str">
        <f>VLOOKUP($A129,Questions!$A$2:$X$333,21,0)&amp;""</f>
        <v>Yes</v>
      </c>
      <c r="H129" s="192"/>
      <c r="I129" s="52" t="str">
        <f>VLOOKUP($A129,Questions!$A$2:$X$333,23,0)&amp;""</f>
        <v>Critical Importance</v>
      </c>
      <c r="J129" s="192"/>
      <c r="K129" s="55" t="b">
        <v>0</v>
      </c>
      <c r="L129" s="1"/>
    </row>
    <row r="130" spans="1:12" s="36" customFormat="1" ht="315" x14ac:dyDescent="0.25">
      <c r="A130" s="25" t="str">
        <f>Product!$A$22</f>
        <v>AAAI-03</v>
      </c>
      <c r="B130" s="26" t="str">
        <f>VLOOKUP($A130,Product!$A$13:$E$61,2,0)&amp;""</f>
        <v>For customers not using SSO, can you enforce password/passphrase complexity requirements (provided by the institution)?*</v>
      </c>
      <c r="C130" s="52" t="str">
        <f>VLOOKUP($A130,Product!$A$13:$E$61,3,0)&amp;""</f>
        <v>Yes</v>
      </c>
      <c r="D130" s="41" t="str">
        <f>IF(LEFT(VLOOKUP($A130,Product!$A$13:$E$61,5,0),21)='Auto Responses'!$A$73,'Auto Responses'!$A$74,VLOOKUP($A130,Product!$A$13:$E$61,4,0))&amp;""</f>
        <v>Identity providers outside the operational scope of Cirrus Identity would manage password/passphrase complexity requirements. Cirrus Identity solutions do not manage the password/passphrase with the exception of the Cirrus Identity OrgBrandedID. Password/passphrase complexity enforcement for the Cirrus Identity OrgBrandedID can be configured based on the organization's requirements.</v>
      </c>
      <c r="E130" s="351" t="str">
        <f>VLOOKUP($A130,Product!$A$13:$E$61,5,0)&amp;""</f>
        <v>Describe how password/passphrase complexity requirements are implemented in the product.</v>
      </c>
      <c r="F130" s="202"/>
      <c r="G130" s="37" t="str">
        <f>VLOOKUP($A130,Questions!$A$2:$X$333,21,0)&amp;""</f>
        <v>Yes</v>
      </c>
      <c r="H130" s="192"/>
      <c r="I130" s="52" t="str">
        <f>VLOOKUP($A130,Questions!$A$2:$X$333,23,0)&amp;""</f>
        <v>Critical Importance</v>
      </c>
      <c r="J130" s="192"/>
      <c r="K130" s="55" t="b">
        <v>0</v>
      </c>
      <c r="L130" s="1"/>
    </row>
    <row r="131" spans="1:12" s="36" customFormat="1" ht="315" x14ac:dyDescent="0.25">
      <c r="A131" s="25" t="str">
        <f>Product!$A$23</f>
        <v>AAAI-04</v>
      </c>
      <c r="B131" s="26" t="str">
        <f>VLOOKUP($A131,Product!$A$13:$E$61,2,0)&amp;""</f>
        <v>For customers not using SSO, does the system have password complexity or length limitations and/or restrictions?*</v>
      </c>
      <c r="C131" s="52" t="str">
        <f>VLOOKUP($A131,Product!$A$13:$E$61,3,0)&amp;""</f>
        <v>Yes</v>
      </c>
      <c r="D131" s="41" t="str">
        <f>IF(LEFT(VLOOKUP($A131,Product!$A$13:$E$61,5,0),21)='Auto Responses'!$A$73,'Auto Responses'!$A$74,VLOOKUP($A131,Product!$A$13:$E$61,4,0))&amp;""</f>
        <v>Identity providers outside the operational scope of Cirrus Identity would manage password/passphrase complexity requirements. Cirrus Identity solutions do not manage the password/passphrase with the exception of the Cirrus OrgBrandedID. Password/passphrase complexity enforcement for the Cirrus OrgBrandedID can be configured based on the organization's requirements.</v>
      </c>
      <c r="E131" s="351" t="str">
        <f>VLOOKUP($A131,Product!$A$13:$E$61,5,0)&amp;""</f>
        <v>Describe these limitations and/or restrictions and state what lengths and complexities are supported.</v>
      </c>
      <c r="F131" s="202"/>
      <c r="G131" s="37" t="str">
        <f>VLOOKUP($A131,Questions!$A$2:$X$333,21,0)&amp;""</f>
        <v>No</v>
      </c>
      <c r="H131" s="192"/>
      <c r="I131" s="52" t="str">
        <f>VLOOKUP($A131,Questions!$A$2:$X$333,23,0)&amp;""</f>
        <v>Critical Importance</v>
      </c>
      <c r="J131" s="192"/>
      <c r="K131" s="55" t="b">
        <v>0</v>
      </c>
      <c r="L131" s="1"/>
    </row>
    <row r="132" spans="1:12" s="36" customFormat="1" ht="409.5" x14ac:dyDescent="0.25">
      <c r="A132" s="25" t="str">
        <f>Product!$A$24</f>
        <v>AAAI-05</v>
      </c>
      <c r="B132" s="26" t="str">
        <f>VLOOKUP($A132,Product!$A$13:$E$61,2,0)&amp;""</f>
        <v>For customers not using SSO, do you have documented password/passphrase reset procedures that are currently implemented in the system and/or customer support?*</v>
      </c>
      <c r="C132" s="52" t="str">
        <f>VLOOKUP($A132,Product!$A$13:$E$61,3,0)&amp;""</f>
        <v>Yes</v>
      </c>
      <c r="D132" s="41" t="str">
        <f>IF(LEFT(VLOOKUP($A132,Product!$A$13:$E$61,5,0),21)='Auto Responses'!$A$73,'Auto Responses'!$A$74,VLOOKUP($A132,Product!$A$13:$E$61,4,0))&amp;""</f>
        <v xml:space="preserve">Identity providers outside of the operational scope of Cirrus Identity would need to implement password/passphrase reset procedures. The Cirrus Identity Products does not manage the password/passphrase reset process with the exception of the Cirrus OrgBrandedID. 
For the Cirrus OrgBrandedID, there is a self-service UI for the end user to change the password if they still remember it. If the end user does not know the password, the default method to reclaim the password is by passing a token to the email address registered to the OrgBrandedID. </v>
      </c>
      <c r="E132" s="351" t="str">
        <f>VLOOKUP($A132,Product!$A$13:$E$61,5,0)&amp;""</f>
        <v>Describe your documented password/passphrase reset procedures that are currently implemented in the system and/or customer support.</v>
      </c>
      <c r="F132" s="202"/>
      <c r="G132" s="37" t="str">
        <f>VLOOKUP($A132,Questions!$A$2:$X$333,21,0)&amp;""</f>
        <v>Yes</v>
      </c>
      <c r="H132" s="192"/>
      <c r="I132" s="52" t="str">
        <f>VLOOKUP($A132,Questions!$A$2:$X$333,23,0)&amp;""</f>
        <v>Critical Importance</v>
      </c>
      <c r="J132" s="192"/>
      <c r="K132" s="55" t="b">
        <v>0</v>
      </c>
      <c r="L132" s="1"/>
    </row>
    <row r="133" spans="1:12" s="36" customFormat="1" ht="225" x14ac:dyDescent="0.25">
      <c r="A133" s="25" t="str">
        <f>Product!$A$25</f>
        <v>AAAI-06</v>
      </c>
      <c r="B133" s="26" t="str">
        <f>VLOOKUP($A133,Product!$A$13:$E$61,2,0)&amp;""</f>
        <v>Does your organization participate in InCommon or another eduGAIN-affiliated trust federation?*</v>
      </c>
      <c r="C133" s="52" t="str">
        <f>VLOOKUP($A133,Product!$A$13:$E$61,3,0)&amp;""</f>
        <v>Yes</v>
      </c>
      <c r="D133" s="41" t="str">
        <f>IF(LEFT(VLOOKUP($A133,Product!$A$13:$E$61,5,0),21)='Auto Responses'!$A$73,'Auto Responses'!$A$74,VLOOKUP($A133,Product!$A$13:$E$61,4,0))&amp;""</f>
        <v>Cirrus Identity services use the following entity IDs:
https://apps.cirrusidentity.com/shibboleth https://support.proxy.cirrusidentity.com/sp
Customers may also choose to register their own tenants in Incommon or other eduGAIN trust federations.</v>
      </c>
      <c r="E133" s="351" t="str">
        <f>VLOOKUP($A133,Product!$A$13:$E$61,5,0)&amp;""</f>
        <v>List the entity IDs registered in the Additional Information column.</v>
      </c>
      <c r="F133" s="202"/>
      <c r="G133" s="37" t="str">
        <f>VLOOKUP($A133,Questions!$A$2:$X$333,21,0)&amp;""</f>
        <v>Yes</v>
      </c>
      <c r="H133" s="192"/>
      <c r="I133" s="52" t="str">
        <f>VLOOKUP($A133,Questions!$A$2:$X$333,23,0)&amp;""</f>
        <v>Critical Importance</v>
      </c>
      <c r="J133" s="192"/>
      <c r="K133" s="55" t="b">
        <v>0</v>
      </c>
      <c r="L133" s="1"/>
    </row>
    <row r="134" spans="1:12" s="36" customFormat="1" ht="27" x14ac:dyDescent="0.25">
      <c r="A134" s="25" t="str">
        <f>Product!$A$26</f>
        <v>AAAI-07</v>
      </c>
      <c r="B134" s="26" t="str">
        <f>VLOOKUP($A134,Product!$A$13:$E$61,2,0)&amp;""</f>
        <v>Are there any passwords/passphrases hard-coded into your systems or solutions?*</v>
      </c>
      <c r="C134" s="52" t="str">
        <f>VLOOKUP($A134,Product!$A$13:$E$61,3,0)&amp;""</f>
        <v>No</v>
      </c>
      <c r="D134" s="41" t="str">
        <f>IF(LEFT(VLOOKUP($A134,Product!$A$13:$E$61,5,0),21)='Auto Responses'!$A$73,'Auto Responses'!$A$74,VLOOKUP($A134,Product!$A$13:$E$61,4,0))&amp;""</f>
        <v/>
      </c>
      <c r="E134" s="351" t="str">
        <f>VLOOKUP($A134,Product!$A$13:$E$61,5,0)&amp;""</f>
        <v/>
      </c>
      <c r="F134" s="202"/>
      <c r="G134" s="37" t="str">
        <f>VLOOKUP($A134,Questions!$A$2:$X$333,21,0)&amp;""</f>
        <v>No</v>
      </c>
      <c r="H134" s="192"/>
      <c r="I134" s="52" t="str">
        <f>VLOOKUP($A134,Questions!$A$2:$X$333,23,0)&amp;""</f>
        <v>Critical Importance</v>
      </c>
      <c r="J134" s="192"/>
      <c r="K134" s="55" t="b">
        <v>0</v>
      </c>
      <c r="L134" s="1"/>
    </row>
    <row r="135" spans="1:12" s="36" customFormat="1" ht="15" x14ac:dyDescent="0.25">
      <c r="A135" s="25" t="str">
        <f>Product!$A$27</f>
        <v>AAAI-08</v>
      </c>
      <c r="B135" s="26" t="str">
        <f>VLOOKUP($A135,Product!$A$13:$E$61,2,0)&amp;""</f>
        <v>Are you storing any passwords in plaintext?*</v>
      </c>
      <c r="C135" s="52" t="str">
        <f>VLOOKUP($A135,Product!$A$13:$E$61,3,0)&amp;""</f>
        <v>No</v>
      </c>
      <c r="D135" s="41" t="str">
        <f>IF(LEFT(VLOOKUP($A135,Product!$A$13:$E$61,5,0),21)='Auto Responses'!$A$73,'Auto Responses'!$A$74,VLOOKUP($A135,Product!$A$13:$E$61,4,0))&amp;""</f>
        <v/>
      </c>
      <c r="E135" s="351" t="str">
        <f>VLOOKUP($A135,Product!$A$13:$E$61,5,0)&amp;""</f>
        <v/>
      </c>
      <c r="F135" s="202"/>
      <c r="G135" s="37" t="str">
        <f>VLOOKUP($A135,Questions!$A$2:$X$333,21,0)&amp;""</f>
        <v>No</v>
      </c>
      <c r="H135" s="192"/>
      <c r="I135" s="52" t="str">
        <f>VLOOKUP($A135,Questions!$A$2:$X$333,23,0)&amp;""</f>
        <v>Critical Importance</v>
      </c>
      <c r="J135" s="192"/>
      <c r="K135" s="55" t="b">
        <v>0</v>
      </c>
      <c r="L135" s="1"/>
    </row>
    <row r="136" spans="1:12" s="36" customFormat="1" ht="27" x14ac:dyDescent="0.25">
      <c r="A136" s="25" t="str">
        <f>Product!$A$28</f>
        <v>AAAI-09</v>
      </c>
      <c r="B136" s="26" t="str">
        <f>VLOOKUP($A136,Product!$A$13:$E$61,2,0)&amp;""</f>
        <v>Are audit logs available that include AT LEAST all of the following: login, logout, actions performed, and source IP address?*</v>
      </c>
      <c r="C136" s="52" t="str">
        <f>VLOOKUP($A136,Product!$A$13:$E$61,3,0)&amp;""</f>
        <v>Yes</v>
      </c>
      <c r="D136" s="41" t="str">
        <f>IF(LEFT(VLOOKUP($A136,Product!$A$13:$E$61,5,0),21)='Auto Responses'!$A$73,'Auto Responses'!$A$74,VLOOKUP($A136,Product!$A$13:$E$61,4,0))&amp;""</f>
        <v/>
      </c>
      <c r="E136" s="351" t="str">
        <f>VLOOKUP($A136,Product!$A$13:$E$61,5,0)&amp;""</f>
        <v/>
      </c>
      <c r="F136" s="202"/>
      <c r="G136" s="37" t="str">
        <f>VLOOKUP($A136,Questions!$A$2:$X$333,21,0)&amp;""</f>
        <v>Yes</v>
      </c>
      <c r="H136" s="192"/>
      <c r="I136" s="52" t="str">
        <f>VLOOKUP($A136,Questions!$A$2:$X$333,23,0)&amp;""</f>
        <v>Critical Importance</v>
      </c>
      <c r="J136" s="192"/>
      <c r="K136" s="55" t="b">
        <v>0</v>
      </c>
      <c r="L136" s="1"/>
    </row>
    <row r="137" spans="1:12" s="36" customFormat="1" ht="409.5" x14ac:dyDescent="0.25">
      <c r="A137" s="25" t="str">
        <f>Product!$A$29</f>
        <v>AAAI-10</v>
      </c>
      <c r="B137" s="26" t="str">
        <f>VLOOKUP($A137,Product!$A$13:$E$61,2,0)&amp;""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37" s="324" t="str">
        <f>VLOOKUP($A137,Product!$A$13:$E$61,3,0)&amp;""</f>
        <v xml:space="preserve">A) The system to access event logs is built into the base Cirrus Identity services. See https://blog.cirrusidentity.com/documentation/self-service-metrics for details.  
B) As outlined by "A", there are no additional customer requirements to implement logging. 
C) Customers may also subscribe to the Cirrus Identity Log API (https://www.cirrusidentity.com/documentation/log-api) to stream event logs into a SIEM or log collector tool of their choosing. There is a nominal additional fee for this capability. There is no material difference in the type of information available as outlined by "A". </v>
      </c>
      <c r="D137" s="323" t="str">
        <f>IF(LEFT(VLOOKUP($A137,Product!$A$13:$E$61,5,0),21)='Auto Responses'!$A$73,'Auto Responses'!$A$74,VLOOKUP($A137,Product!$A$13:$E$61,4,0))&amp;""</f>
        <v/>
      </c>
      <c r="E137" s="351" t="str">
        <f>VLOOKUP($A137,Product!$A$13:$E$61,5,0)&amp;""</f>
        <v>Ensure that all elements of AAAI-10 are clearly stated in your response.</v>
      </c>
      <c r="F137" s="202"/>
      <c r="G137" s="37" t="str">
        <f>VLOOKUP($A137,Questions!$A$2:$X$333,21,0)&amp;""</f>
        <v>Not scored</v>
      </c>
      <c r="H137" s="192"/>
      <c r="I137" s="52" t="str">
        <f>VLOOKUP($A137,Questions!$A$2:$X$333,23,0)&amp;""</f>
        <v>Critical Importance</v>
      </c>
      <c r="J137" s="192"/>
      <c r="K137" s="55" t="b">
        <v>0</v>
      </c>
      <c r="L137" s="1"/>
    </row>
    <row r="138" spans="1:12" s="36" customFormat="1" ht="40.5" x14ac:dyDescent="0.25">
      <c r="A138" s="25" t="str">
        <f>Product!$A$30</f>
        <v>AAAI-11</v>
      </c>
      <c r="B138" s="26" t="str">
        <f>VLOOKUP($A138,Product!$A$13:$E$61,2,0)&amp;""</f>
        <v>Can you provide the institution documentation regarding the retention period for those logs, how logs are protected, and whether they are accessible to the customer (and if so, how)?*</v>
      </c>
      <c r="C138" s="52" t="str">
        <f>VLOOKUP($A138,Product!$A$13:$E$61,3,0)&amp;""</f>
        <v>Yes</v>
      </c>
      <c r="D138" s="41" t="str">
        <f>IF(LEFT(VLOOKUP($A138,Product!$A$13:$E$61,5,0),21)='Auto Responses'!$A$73,'Auto Responses'!$A$74,VLOOKUP($A138,Product!$A$13:$E$61,4,0))&amp;""</f>
        <v/>
      </c>
      <c r="E138" s="351" t="str">
        <f>VLOOKUP($A138,Product!$A$13:$E$61,5,0)&amp;""</f>
        <v/>
      </c>
      <c r="F138" s="202"/>
      <c r="G138" s="37" t="str">
        <f>VLOOKUP($A138,Questions!$A$2:$X$333,21,0)&amp;""</f>
        <v>Yes</v>
      </c>
      <c r="H138" s="192"/>
      <c r="I138" s="52" t="str">
        <f>VLOOKUP($A138,Questions!$A$2:$X$333,23,0)&amp;""</f>
        <v>Critical Importance</v>
      </c>
      <c r="J138" s="192"/>
      <c r="K138" s="55" t="b">
        <v>0</v>
      </c>
      <c r="L138" s="1"/>
    </row>
    <row r="139" spans="1:12" s="36" customFormat="1" ht="105" x14ac:dyDescent="0.25">
      <c r="A139" s="25" t="str">
        <f>Product!$A$31</f>
        <v>AAAI-12</v>
      </c>
      <c r="B139" s="26" t="str">
        <f>VLOOKUP($A139,Product!$A$13:$E$61,2,0)&amp;""</f>
        <v>For customers not using SSO, does your application support integration with other authentication and authorization systems?</v>
      </c>
      <c r="C139" s="52" t="str">
        <f>VLOOKUP($A139,Product!$A$13:$E$61,3,0)&amp;""</f>
        <v>Yes</v>
      </c>
      <c r="D139" s="41" t="str">
        <f>IF(LEFT(VLOOKUP($A139,Product!$A$13:$E$61,5,0),21)='Auto Responses'!$A$73,'Auto Responses'!$A$74,VLOOKUP($A139,Product!$A$13:$E$61,4,0))&amp;""</f>
        <v>Primary integration would use SAML2 WebSSO protocol, but some products also support OIDC or CAS.</v>
      </c>
      <c r="E139" s="351" t="str">
        <f>VLOOKUP($A139,Product!$A$13:$E$61,5,0)&amp;""</f>
        <v>List which systems and versions supported (such as Active Directory, Kerberos, or other LDAP compatible directory) in Additional Info.</v>
      </c>
      <c r="F139" s="202"/>
      <c r="G139" s="37" t="str">
        <f>VLOOKUP($A139,Questions!$A$2:$X$333,21,0)&amp;""</f>
        <v>Yes</v>
      </c>
      <c r="H139" s="192"/>
      <c r="I139" s="52" t="str">
        <f>VLOOKUP($A139,Questions!$A$2:$X$333,23,0)&amp;""</f>
        <v>Standard Importance</v>
      </c>
      <c r="J139" s="192"/>
      <c r="K139" s="55" t="b">
        <v>0</v>
      </c>
      <c r="L139" s="1"/>
    </row>
    <row r="140" spans="1:12" s="36" customFormat="1" ht="40.5" x14ac:dyDescent="0.25">
      <c r="A140" s="25" t="str">
        <f>Product!$A$32</f>
        <v>AAAI-13</v>
      </c>
      <c r="B140" s="26" t="str">
        <f>VLOOKUP($A140,Product!$A$13:$E$61,2,0)&amp;""</f>
        <v>Do you allow the customer to specify attribute mappings for any needed information beyond a user identifier? (e.g., Reference eduPerson, ePPA/ePPN/ePE)</v>
      </c>
      <c r="C140" s="52" t="str">
        <f>VLOOKUP($A140,Product!$A$13:$E$61,3,0)&amp;""</f>
        <v>Yes</v>
      </c>
      <c r="D140" s="41" t="str">
        <f>IF(LEFT(VLOOKUP($A140,Product!$A$13:$E$61,5,0),21)='Auto Responses'!$A$73,'Auto Responses'!$A$74,VLOOKUP($A140,Product!$A$13:$E$61,4,0))&amp;""</f>
        <v/>
      </c>
      <c r="E140" s="351" t="str">
        <f>VLOOKUP($A140,Product!$A$13:$E$61,5,0)&amp;""</f>
        <v/>
      </c>
      <c r="F140" s="202"/>
      <c r="G140" s="37" t="str">
        <f>VLOOKUP($A140,Questions!$A$2:$X$333,21,0)&amp;""</f>
        <v>Yes</v>
      </c>
      <c r="H140" s="192"/>
      <c r="I140" s="52" t="str">
        <f>VLOOKUP($A140,Questions!$A$2:$X$333,23,0)&amp;""</f>
        <v>Standard Importance</v>
      </c>
      <c r="J140" s="192"/>
      <c r="K140" s="55" t="b">
        <v>0</v>
      </c>
      <c r="L140" s="1"/>
    </row>
    <row r="141" spans="1:12" s="36" customFormat="1" ht="210" x14ac:dyDescent="0.25">
      <c r="A141" s="25" t="str">
        <f>Product!$A$33</f>
        <v>AAAI-14</v>
      </c>
      <c r="B141" s="26" t="str">
        <f>VLOOKUP($A141,Product!$A$13:$E$61,2,0)&amp;""</f>
        <v>For customers not using SSO, does your application support directory integration for user accounts?</v>
      </c>
      <c r="C141" s="52" t="str">
        <f>VLOOKUP($A141,Product!$A$13:$E$61,3,0)&amp;""</f>
        <v>Yes</v>
      </c>
      <c r="D141" s="41" t="str">
        <f>IF(LEFT(VLOOKUP($A141,Product!$A$13:$E$61,5,0),21)='Auto Responses'!$A$73,'Auto Responses'!$A$74,VLOOKUP($A141,Product!$A$13:$E$61,4,0))&amp;""</f>
        <v xml:space="preserve">The primary method for handling attributes associated with end-user accounts is through the passing of attributes from external authentication sources (aka identity providers) using the SAMLV2 webSSO protocol. Some products also support OIDC or CAS webSSO protocols. </v>
      </c>
      <c r="E141" s="351" t="str">
        <f>VLOOKUP($A141,Product!$A$13:$E$61,5,0)&amp;""</f>
        <v>Describe all authentication services supported by the system.</v>
      </c>
      <c r="F141" s="202"/>
      <c r="G141" s="37" t="str">
        <f>VLOOKUP($A141,Questions!$A$2:$X$333,21,0)&amp;""</f>
        <v>Yes</v>
      </c>
      <c r="H141" s="192"/>
      <c r="I141" s="52" t="str">
        <f>VLOOKUP($A141,Questions!$A$2:$X$333,23,0)&amp;""</f>
        <v>Standard Importance</v>
      </c>
      <c r="J141" s="192"/>
      <c r="K141" s="55" t="b">
        <v>0</v>
      </c>
      <c r="L141" s="1"/>
    </row>
    <row r="142" spans="1:12" s="36" customFormat="1" ht="150" x14ac:dyDescent="0.25">
      <c r="A142" s="25" t="str">
        <f>Product!$A$34</f>
        <v>AAAI-15</v>
      </c>
      <c r="B142" s="26" t="str">
        <f>VLOOKUP($A142,Product!$A$13:$E$61,2,0)&amp;""</f>
        <v>Does your solution support any of the following web SSO standards: SAML2 (with redirect flow), OIDC, CAS, or other?</v>
      </c>
      <c r="C142" s="52" t="str">
        <f>VLOOKUP($A142,Product!$A$13:$E$61,3,0)&amp;""</f>
        <v>Yes</v>
      </c>
      <c r="D142" s="41" t="str">
        <f>IF(LEFT(VLOOKUP($A142,Product!$A$13:$E$61,5,0),21)='Auto Responses'!$A$73,'Auto Responses'!$A$74,VLOOKUP($A142,Product!$A$13:$E$61,4,0))&amp;""</f>
        <v xml:space="preserve">Cirrus Identity Products supports the following WebSSO standards: SP initiated SAML2, CAS, and OIDC. </v>
      </c>
      <c r="E142" s="351" t="str">
        <f>VLOOKUP($A142,Product!$A$13:$E$61,5,0)&amp;""</f>
        <v>State the web SSO standards supported by your solution and provide additional details about your support, including framework(s) in use, how information is exchanged securely, etc.</v>
      </c>
      <c r="F142" s="202"/>
      <c r="G142" s="37" t="str">
        <f>VLOOKUP($A142,Questions!$A$2:$X$333,21,0)&amp;""</f>
        <v>Yes</v>
      </c>
      <c r="H142" s="192"/>
      <c r="I142" s="52" t="str">
        <f>VLOOKUP($A142,Questions!$A$2:$X$333,23,0)&amp;""</f>
        <v>Minor Importance</v>
      </c>
      <c r="J142" s="192"/>
      <c r="K142" s="55" t="b">
        <v>0</v>
      </c>
      <c r="L142" s="1"/>
    </row>
    <row r="143" spans="1:12" s="36" customFormat="1" ht="15" x14ac:dyDescent="0.25">
      <c r="A143" s="25" t="str">
        <f>Product!$A$35</f>
        <v>AAAI-16</v>
      </c>
      <c r="B143" s="26" t="str">
        <f>VLOOKUP($A143,Product!$A$13:$E$61,2,0)&amp;""</f>
        <v>Do you support differentiation between email address and user identifier?</v>
      </c>
      <c r="C143" s="52" t="str">
        <f>VLOOKUP($A143,Product!$A$13:$E$61,3,0)&amp;""</f>
        <v>Yes</v>
      </c>
      <c r="D143" s="41" t="str">
        <f>IF(LEFT(VLOOKUP($A143,Product!$A$13:$E$61,5,0),21)='Auto Responses'!$A$73,'Auto Responses'!$A$74,VLOOKUP($A143,Product!$A$13:$E$61,4,0))&amp;""</f>
        <v/>
      </c>
      <c r="E143" s="351" t="str">
        <f>VLOOKUP($A143,Product!$A$13:$E$61,5,0)&amp;""</f>
        <v/>
      </c>
      <c r="F143" s="202"/>
      <c r="G143" s="37" t="str">
        <f>VLOOKUP($A143,Questions!$A$2:$X$333,21,0)&amp;""</f>
        <v>Yes</v>
      </c>
      <c r="H143" s="192"/>
      <c r="I143" s="52" t="str">
        <f>VLOOKUP($A143,Questions!$A$2:$X$333,23,0)&amp;""</f>
        <v>Minor Importance</v>
      </c>
      <c r="J143" s="192"/>
      <c r="K143" s="55" t="b">
        <v>0</v>
      </c>
      <c r="L143" s="1"/>
    </row>
    <row r="144" spans="1:12" s="36" customFormat="1" ht="195" x14ac:dyDescent="0.25">
      <c r="A144" s="25" t="str">
        <f>Product!$A$36</f>
        <v>AAAI-17</v>
      </c>
      <c r="B144" s="26" t="str">
        <f>VLOOKUP($A144,Product!$A$13:$E$61,2,0)&amp;""</f>
        <v>For customers not using SSO, does your application and/or user frontend/portal support multifactor authentication (e.g., Duo, Google Authenticator, OTP, etc.)?</v>
      </c>
      <c r="C144" s="52" t="str">
        <f>VLOOKUP($A144,Product!$A$13:$E$61,3,0)&amp;""</f>
        <v>Yes</v>
      </c>
      <c r="D144" s="41" t="str">
        <f>IF(LEFT(VLOOKUP($A144,Product!$A$13:$E$61,5,0),21)='Auto Responses'!$A$73,'Auto Responses'!$A$74,VLOOKUP($A144,Product!$A$13:$E$61,4,0))&amp;""</f>
        <v>Cirrus Identity solutions will respect the multi-factor (MFA) capabilities of Identity providers outside the operational scope of Cirrus Identity, and will respect the signaling for multi-factor where possible (for example REFEDS MFA Context -- https://refeds.org/profile/mfa).</v>
      </c>
      <c r="E144" s="351" t="str">
        <f>VLOOKUP($A144,Product!$A$13:$E$61,5,0)&amp;""</f>
        <v>List all supported multifactor authentication methods, technologies, and/or solutions and provide a brief summary of each.</v>
      </c>
      <c r="F144" s="202"/>
      <c r="G144" s="37" t="str">
        <f>VLOOKUP($A144,Questions!$A$2:$X$333,21,0)&amp;""</f>
        <v>Yes</v>
      </c>
      <c r="H144" s="192"/>
      <c r="I144" s="52" t="str">
        <f>VLOOKUP($A144,Questions!$A$2:$X$333,23,0)&amp;""</f>
        <v>Minor Importance</v>
      </c>
      <c r="J144" s="192"/>
      <c r="K144" s="55" t="b">
        <v>0</v>
      </c>
      <c r="L144" s="1"/>
    </row>
    <row r="145" spans="1:12" s="36" customFormat="1" ht="195" x14ac:dyDescent="0.25">
      <c r="A145" s="25" t="str">
        <f>Product!$A$37</f>
        <v>AAAI-18</v>
      </c>
      <c r="B145" s="26" t="str">
        <f>VLOOKUP($A145,Product!$A$13:$E$61,2,0)&amp;""</f>
        <v>Does your application automatically lock the session or log out an account after a period of inactivity?</v>
      </c>
      <c r="C145" s="52" t="str">
        <f>VLOOKUP($A145,Product!$A$13:$E$61,3,0)&amp;""</f>
        <v>Yes</v>
      </c>
      <c r="D145" s="41" t="str">
        <f>IF(LEFT(VLOOKUP($A145,Product!$A$13:$E$61,5,0),21)='Auto Responses'!$A$73,'Auto Responses'!$A$74,VLOOKUP($A145,Product!$A$13:$E$61,4,0))&amp;""</f>
        <v>Not applicable - Cirrus Identity solutions support SAML single log-out if configured, and do not interfere with the session locking or session management of individual service providers. The Cirrus Administrative console has session timeout functions.</v>
      </c>
      <c r="E145" s="351" t="str">
        <f>VLOOKUP($A145,Product!$A$13:$E$61,5,0)&amp;""</f>
        <v>Describe the default behavior of this capability.</v>
      </c>
      <c r="F145" s="202"/>
      <c r="G145" s="37" t="str">
        <f>VLOOKUP($A145,Questions!$A$2:$X$333,21,0)&amp;""</f>
        <v>Yes</v>
      </c>
      <c r="H145" s="192"/>
      <c r="I145" s="52" t="str">
        <f>VLOOKUP($A145,Questions!$A$2:$X$333,23,0)&amp;""</f>
        <v>Minor Importance</v>
      </c>
      <c r="J145" s="192"/>
      <c r="K145" s="55" t="b">
        <v>0</v>
      </c>
      <c r="L145" s="1"/>
    </row>
    <row r="146" spans="1:12" s="1" customFormat="1" ht="17.5" x14ac:dyDescent="0.25">
      <c r="A146" s="70" t="str">
        <f>VLOOKUP(LEFT($A147,4),'Auto Responses'!$N$4:$O$38,2,0)&amp;""</f>
        <v xml:space="preserve"> Data</v>
      </c>
      <c r="B146" s="29"/>
      <c r="C146" s="38"/>
      <c r="D146" s="38"/>
      <c r="E146" s="352"/>
      <c r="F146" s="139" t="s">
        <v>1089</v>
      </c>
      <c r="G146" s="359" t="s">
        <v>925</v>
      </c>
      <c r="H146" s="359" t="s">
        <v>927</v>
      </c>
      <c r="I146" s="359" t="s">
        <v>19</v>
      </c>
      <c r="J146" s="359" t="s">
        <v>912</v>
      </c>
      <c r="K146" s="38"/>
    </row>
    <row r="147" spans="1:12" s="36" customFormat="1" ht="40.5" x14ac:dyDescent="0.25">
      <c r="A147" s="25" t="str">
        <f>Product!$A$39</f>
        <v>DATA-01</v>
      </c>
      <c r="B147" s="26" t="str">
        <f>VLOOKUP($A147,Product!$A$13:$E$61,2,0)&amp;""</f>
        <v>Will the institution's data be stored on any devices (database servers, file servers, SAN, NAS, etc.) configured with non-RFC 1918/4193 (i.e., publicly routable) IP addresses?*</v>
      </c>
      <c r="C147" s="52" t="str">
        <f>VLOOKUP($A147,Product!$A$13:$E$61,3,0)&amp;""</f>
        <v>No</v>
      </c>
      <c r="D147" s="41" t="str">
        <f>IF(LEFT(VLOOKUP($A147,Product!$A$13:$E$61,5,0),21)='Auto Responses'!$A$73,'Auto Responses'!$A$74,VLOOKUP($A147,Product!$A$13:$E$61,4,0))&amp;""</f>
        <v/>
      </c>
      <c r="E147" s="351" t="str">
        <f>VLOOKUP($A147,Product!$A$13:$E$61,5,0)&amp;""</f>
        <v/>
      </c>
      <c r="F147" s="202"/>
      <c r="G147" s="37" t="str">
        <f>VLOOKUP($A147,Questions!$A$2:$X$333,21,0)&amp;""</f>
        <v>No</v>
      </c>
      <c r="H147" s="192"/>
      <c r="I147" s="52" t="str">
        <f>VLOOKUP($A147,Questions!$A$2:$X$333,23,0)&amp;""</f>
        <v>Critical Importance</v>
      </c>
      <c r="J147" s="192"/>
      <c r="K147" s="55" t="b">
        <v>0</v>
      </c>
      <c r="L147" s="1"/>
    </row>
    <row r="148" spans="1:12" s="36" customFormat="1" ht="409.5" x14ac:dyDescent="0.25">
      <c r="A148" s="25" t="str">
        <f>Product!$A$40</f>
        <v>DATA-02</v>
      </c>
      <c r="B148" s="26" t="str">
        <f>VLOOKUP($A148,Product!$A$13:$E$61,2,0)&amp;""</f>
        <v>Is the transport of sensitive data encrypted using security protocols/algorithms (e.g., system-to-client)?*</v>
      </c>
      <c r="C148" s="52" t="str">
        <f>VLOOKUP($A148,Product!$A$13:$E$61,3,0)&amp;""</f>
        <v>Yes</v>
      </c>
      <c r="D148" s="41" t="str">
        <f>IF(LEFT(VLOOKUP($A148,Product!$A$13:$E$61,5,0),21)='Auto Responses'!$A$73,'Auto Responses'!$A$74,VLOOKUP($A148,Product!$A$13:$E$61,4,0))&amp;""</f>
        <v xml:space="preserve">Data in transit is encrypted by TLS 1.2 -- as of Fall 2020, a TLS version below 1.2 is not supported. Load balancers are currently configured to use the ELBSecurityPolicy-TLS-1-2-Ext-2018-06 for the majority of products. New product deployments are migrating to use ELBSecurityPolicy-TLS13-1-2-2021-06 as the standard. See https://docs.aws.amazon.com/elasticloadbalancing/latest/network/describe-ssl-policies.html for details. SAML V2 messages are also signed to prevent tampering. Cirrus engineering utilizes SSH and VPN to access the AWS Virtual Private Cloud (VPC). </v>
      </c>
      <c r="E148" s="351" t="str">
        <f>VLOOKUP($A148,Product!$A$13:$E$61,5,0)&amp;""</f>
        <v>Summarize your transport encryption strategy.</v>
      </c>
      <c r="F148" s="202"/>
      <c r="G148" s="37" t="str">
        <f>VLOOKUP($A148,Questions!$A$2:$X$333,21,0)&amp;""</f>
        <v>Yes</v>
      </c>
      <c r="H148" s="192"/>
      <c r="I148" s="52" t="str">
        <f>VLOOKUP($A148,Questions!$A$2:$X$333,23,0)&amp;""</f>
        <v>Critical Importance</v>
      </c>
      <c r="J148" s="192"/>
      <c r="K148" s="55" t="b">
        <v>0</v>
      </c>
      <c r="L148" s="1"/>
    </row>
    <row r="149" spans="1:12" s="36" customFormat="1" ht="330" x14ac:dyDescent="0.25">
      <c r="A149" s="25" t="str">
        <f>Product!$A$41</f>
        <v>DATA-03</v>
      </c>
      <c r="B149" s="26" t="str">
        <f>VLOOKUP($A149,Product!$A$13:$E$61,2,0)&amp;""</f>
        <v>Is the storage of sensitive data encrypted using security protocols/algorithms (e.g., disk encryption, at-rest, files, and within a running database)?*</v>
      </c>
      <c r="C149" s="52" t="str">
        <f>VLOOKUP($A149,Product!$A$13:$E$61,3,0)&amp;""</f>
        <v>Yes</v>
      </c>
      <c r="D149" s="41" t="str">
        <f>IF(LEFT(VLOOKUP($A149,Product!$A$13:$E$61,5,0),21)='Auto Responses'!$A$73,'Auto Responses'!$A$74,VLOOKUP($A149,Product!$A$13:$E$61,4,0))&amp;""</f>
        <v>Data is encrypted at rest with KMS (Amazon’s key management service). Allowing AWS to manage the keys improves segregation of duties. EC2 volumes and RDS (the database) are encrypted at rest. Some data is also encrypted using envelope encryption (for example SAML keys). The master key for envelope security is region specific and managed by KMS, while the KMS generated data key is used cross-region.</v>
      </c>
      <c r="E149" s="351" t="str">
        <f>VLOOKUP($A149,Product!$A$13:$E$61,5,0)&amp;""</f>
        <v>Summarize your data encryption strategy and state what encryption options are available.</v>
      </c>
      <c r="F149" s="202"/>
      <c r="G149" s="37" t="str">
        <f>VLOOKUP($A149,Questions!$A$2:$X$333,21,0)&amp;""</f>
        <v>Yes</v>
      </c>
      <c r="H149" s="192"/>
      <c r="I149" s="52" t="str">
        <f>VLOOKUP($A149,Questions!$A$2:$X$333,23,0)&amp;""</f>
        <v>Critical Importance</v>
      </c>
      <c r="J149" s="192"/>
      <c r="K149" s="55" t="b">
        <v>0</v>
      </c>
      <c r="L149" s="1"/>
    </row>
    <row r="150" spans="1:12" s="36" customFormat="1" ht="210" x14ac:dyDescent="0.25">
      <c r="A150" s="25" t="str">
        <f>Product!$A$42</f>
        <v>DATA-04</v>
      </c>
      <c r="B150" s="26" t="str">
        <f>VLOOKUP($A150,Product!$A$13:$E$61,2,0)&amp;""</f>
        <v>Do all cryptographic modules in use in your solution conform to the Federal Information Processing Standards (FIPS PUB 140-2 or 140-3)?*</v>
      </c>
      <c r="C150" s="52" t="str">
        <f>VLOOKUP($A150,Product!$A$13:$E$61,3,0)&amp;""</f>
        <v>No</v>
      </c>
      <c r="D150" s="41" t="str">
        <f>IF(LEFT(VLOOKUP($A150,Product!$A$13:$E$61,5,0),21)='Auto Responses'!$A$73,'Auto Responses'!$A$74,VLOOKUP($A150,Product!$A$13:$E$61,4,0))&amp;""</f>
        <v>The current Bouncy Castle Java API and xmlseclib versions uses FIPS approved algorithms but is not validated to FIPS PUB 140-3. Cirrus Identity also does not currently utilize FIPS validated AWS endpoints or services. See https://aws.amazon.com/compliance/fips/ for details.</v>
      </c>
      <c r="E150" s="351" t="str">
        <f>VLOOKUP($A150,Product!$A$13:$E$61,5,0)&amp;""</f>
        <v>Provide a detailed description of all non-conforming modules.</v>
      </c>
      <c r="F150" s="202"/>
      <c r="G150" s="37" t="str">
        <f>VLOOKUP($A150,Questions!$A$2:$X$333,21,0)&amp;""</f>
        <v>Yes</v>
      </c>
      <c r="H150" s="192"/>
      <c r="I150" s="52" t="str">
        <f>VLOOKUP($A150,Questions!$A$2:$X$333,23,0)&amp;""</f>
        <v>Critical Importance</v>
      </c>
      <c r="J150" s="192"/>
      <c r="K150" s="55" t="b">
        <v>0</v>
      </c>
      <c r="L150" s="1"/>
    </row>
    <row r="151" spans="1:12" s="36" customFormat="1" ht="270" x14ac:dyDescent="0.25">
      <c r="A151" s="25" t="str">
        <f>Product!$A$43</f>
        <v>DATA-05</v>
      </c>
      <c r="B151" s="26" t="str">
        <f>VLOOKUP($A151,Product!$A$13:$E$61,2,0)&amp;""</f>
        <v>Will the institution's data be available within the system for a period of time at the completion of this contract?*</v>
      </c>
      <c r="C151" s="52" t="str">
        <f>VLOOKUP($A151,Product!$A$13:$E$61,3,0)&amp;""</f>
        <v>Yes</v>
      </c>
      <c r="D151" s="41" t="str">
        <f>IF(LEFT(VLOOKUP($A151,Product!$A$13:$E$61,5,0),21)='Auto Responses'!$A$73,'Auto Responses'!$A$74,VLOOKUP($A151,Product!$A$13:$E$61,4,0))&amp;""</f>
        <v>Default Cirrus Identity master terms contract language references the Cirrus Identity Privacy Policy (https://www.cirrusidentity.com/cirrus-trust-and-compliance) for data retention at the termination of a customer's contract. Unless altered by contract, customers have 30 days from contract termination to request return of data controlled by the customer.</v>
      </c>
      <c r="E151" s="351" t="str">
        <f>VLOOKUP($A151,Product!$A$13:$E$61,5,0)&amp;""</f>
        <v>State the length of time that the institution's data will be available in the system at the completion of the contract.</v>
      </c>
      <c r="F151" s="202"/>
      <c r="G151" s="37" t="str">
        <f>VLOOKUP($A151,Questions!$A$2:$X$333,21,0)&amp;""</f>
        <v>Yes</v>
      </c>
      <c r="H151" s="192"/>
      <c r="I151" s="52" t="str">
        <f>VLOOKUP($A151,Questions!$A$2:$X$333,23,0)&amp;""</f>
        <v>Critical Importance</v>
      </c>
      <c r="J151" s="192"/>
      <c r="K151" s="55" t="b">
        <v>0</v>
      </c>
      <c r="L151" s="1"/>
    </row>
    <row r="152" spans="1:12" s="36" customFormat="1" ht="210" x14ac:dyDescent="0.25">
      <c r="A152" s="25" t="str">
        <f>Product!$A$44</f>
        <v>DATA-06</v>
      </c>
      <c r="B152" s="26" t="str">
        <f>VLOOKUP($A152,Product!$A$13:$E$61,2,0)&amp;""</f>
        <v>Are these rights retained even through a provider acquisition or bankruptcy event?*</v>
      </c>
      <c r="C152" s="52" t="str">
        <f>VLOOKUP($A152,Product!$A$13:$E$61,3,0)&amp;""</f>
        <v>Yes</v>
      </c>
      <c r="D152" s="41" t="str">
        <f>IF(LEFT(VLOOKUP($A152,Product!$A$13:$E$61,5,0),21)='Auto Responses'!$A$73,'Auto Responses'!$A$74,VLOOKUP($A152,Product!$A$13:$E$61,4,0))&amp;""</f>
        <v>Unless altered by contract, default Cirrus Identity master terms contract language maintains customer rights provided Cirrus Identity may assign the entire master terms agreement without customer consent in connection with a merger, acquisition, corporate reorganization, or sale.</v>
      </c>
      <c r="E152" s="351" t="str">
        <f>VLOOKUP($A152,Product!$A$13:$E$61,5,0)&amp;""</f>
        <v>Provide references, as needed.</v>
      </c>
      <c r="F152" s="202"/>
      <c r="G152" s="37" t="str">
        <f>VLOOKUP($A152,Questions!$A$2:$X$333,21,0)&amp;""</f>
        <v>Yes</v>
      </c>
      <c r="H152" s="192"/>
      <c r="I152" s="52" t="str">
        <f>VLOOKUP($A152,Questions!$A$2:$X$333,23,0)&amp;""</f>
        <v>Critical Importance</v>
      </c>
      <c r="J152" s="192"/>
      <c r="K152" s="55" t="b">
        <v>0</v>
      </c>
      <c r="L152" s="1"/>
    </row>
    <row r="153" spans="1:12" s="36" customFormat="1" ht="27" x14ac:dyDescent="0.25">
      <c r="A153" s="25" t="str">
        <f>Product!$A$45</f>
        <v>DATA-07</v>
      </c>
      <c r="B153" s="26" t="str">
        <f>VLOOKUP($A153,Product!$A$13:$E$61,2,0)&amp;""</f>
        <v>Do backups containing the institution's data ever leave the institution's data zone either physically or via network routing?*</v>
      </c>
      <c r="C153" s="52" t="str">
        <f>VLOOKUP($A153,Product!$A$13:$E$61,3,0)&amp;""</f>
        <v>No</v>
      </c>
      <c r="D153" s="41" t="str">
        <f>IF(LEFT(VLOOKUP($A153,Product!$A$13:$E$61,5,0),21)='Auto Responses'!$A$73,'Auto Responses'!$A$74,VLOOKUP($A153,Product!$A$13:$E$61,4,0))&amp;""</f>
        <v/>
      </c>
      <c r="E153" s="351" t="str">
        <f>VLOOKUP($A153,Product!$A$13:$E$61,5,0)&amp;""</f>
        <v/>
      </c>
      <c r="F153" s="202"/>
      <c r="G153" s="37" t="str">
        <f>VLOOKUP($A153,Questions!$A$2:$X$333,21,0)&amp;""</f>
        <v>No</v>
      </c>
      <c r="H153" s="192"/>
      <c r="I153" s="52" t="str">
        <f>VLOOKUP($A153,Questions!$A$2:$X$333,23,0)&amp;""</f>
        <v>Critical Importance</v>
      </c>
      <c r="J153" s="192"/>
      <c r="K153" s="55" t="b">
        <v>0</v>
      </c>
      <c r="L153" s="1"/>
    </row>
    <row r="154" spans="1:12" s="36" customFormat="1" ht="195" x14ac:dyDescent="0.25">
      <c r="A154" s="25" t="str">
        <f>Product!$A$46</f>
        <v>DATA-08</v>
      </c>
      <c r="B154" s="26" t="str">
        <f>VLOOKUP($A154,Product!$A$13:$E$61,2,0)&amp;""</f>
        <v>Is media used for long-term retention of business data and archival purposes stored in a secure, environmentally protected area?*</v>
      </c>
      <c r="C154" s="52" t="str">
        <f>VLOOKUP($A154,Product!$A$13:$E$61,3,0)&amp;""</f>
        <v>Yes</v>
      </c>
      <c r="D154" s="41" t="str">
        <f>IF(LEFT(VLOOKUP($A154,Product!$A$13:$E$61,5,0),21)='Auto Responses'!$A$73,'Auto Responses'!$A$74,VLOOKUP($A154,Product!$A$13:$E$61,4,0))&amp;""</f>
        <v>Cirrus Identity uses AWS Glacier for long terms storage of data, and relies on the datacenter controls implemented by AWS for security and environmental protection. See https://aws.amazon.com/compliance/data-center/controls/ for details.</v>
      </c>
      <c r="E154" s="351" t="str">
        <f>VLOOKUP($A154,Product!$A$13:$E$61,5,0)&amp;""</f>
        <v>Provide a general summary of your archival environment.</v>
      </c>
      <c r="F154" s="202"/>
      <c r="G154" s="37" t="str">
        <f>VLOOKUP($A154,Questions!$A$2:$X$333,21,0)&amp;""</f>
        <v>Yes</v>
      </c>
      <c r="H154" s="192"/>
      <c r="I154" s="52" t="str">
        <f>VLOOKUP($A154,Questions!$A$2:$X$333,23,0)&amp;""</f>
        <v>Critical Importance</v>
      </c>
      <c r="J154" s="192"/>
      <c r="K154" s="55" t="b">
        <v>0</v>
      </c>
      <c r="L154" s="1"/>
    </row>
    <row r="155" spans="1:12" s="36" customFormat="1" ht="270" x14ac:dyDescent="0.25">
      <c r="A155" s="25" t="str">
        <f>Product!$A$47</f>
        <v>DATA-09</v>
      </c>
      <c r="B155" s="26" t="str">
        <f>VLOOKUP($A155,Product!$A$13:$E$61,2,0)&amp;""</f>
        <v>At the completion of this contract, will data be returned to the institution and/or deleted from all your systems and archives?</v>
      </c>
      <c r="C155" s="52" t="str">
        <f>VLOOKUP($A155,Product!$A$13:$E$61,3,0)&amp;""</f>
        <v>Yes</v>
      </c>
      <c r="D155" s="41" t="str">
        <f>IF(LEFT(VLOOKUP($A155,Product!$A$13:$E$61,5,0),21)='Auto Responses'!$A$73,'Auto Responses'!$A$74,VLOOKUP($A155,Product!$A$13:$E$61,4,0))&amp;""</f>
        <v>Default Cirrus Identity master terms contract language references the Cirrus Identity Privacy Policy (https://www.cirrusidentity.com/cirrus-trust-and-compliance) for data retention at the termination of a customer's contract. Unless altered by contract, customers have 30 days from contract termination to request return of data controlled by the customer.</v>
      </c>
      <c r="E155" s="351" t="str">
        <f>VLOOKUP($A155,Product!$A$13:$E$61,5,0)&amp;""</f>
        <v>State the length of time that the institution's data will be available in the system at the completion of the contract.</v>
      </c>
      <c r="F155" s="202"/>
      <c r="G155" s="37" t="str">
        <f>VLOOKUP($A155,Questions!$A$2:$X$333,21,0)&amp;""</f>
        <v>Yes</v>
      </c>
      <c r="H155" s="192"/>
      <c r="I155" s="52" t="str">
        <f>VLOOKUP($A155,Questions!$A$2:$X$333,23,0)&amp;""</f>
        <v>Standard Importance</v>
      </c>
      <c r="J155" s="192"/>
      <c r="K155" s="55" t="b">
        <v>0</v>
      </c>
      <c r="L155" s="1"/>
    </row>
    <row r="156" spans="1:12" s="36" customFormat="1" ht="105" x14ac:dyDescent="0.25">
      <c r="A156" s="25" t="str">
        <f>Product!$A$48</f>
        <v>DATA-10</v>
      </c>
      <c r="B156" s="26" t="str">
        <f>VLOOKUP($A156,Product!$A$13:$E$61,2,0)&amp;""</f>
        <v>Can the institution extract a full or partial backup of data?</v>
      </c>
      <c r="C156" s="52" t="str">
        <f>VLOOKUP($A156,Product!$A$13:$E$61,3,0)&amp;""</f>
        <v>Yes</v>
      </c>
      <c r="D156" s="41" t="str">
        <f>IF(LEFT(VLOOKUP($A156,Product!$A$13:$E$61,5,0),21)='Auto Responses'!$A$73,'Auto Responses'!$A$74,VLOOKUP($A156,Product!$A$13:$E$61,4,0))&amp;""</f>
        <v xml:space="preserve">Customers may use Cirrus Identity APIs to extract data controlled by the Customer for the duration of the contract and up to 30 days after termination. </v>
      </c>
      <c r="E156" s="351" t="str">
        <f>VLOOKUP($A156,Product!$A$13:$E$61,5,0)&amp;""</f>
        <v>Provide a general summary of how full and partial backups of data can be extracted.</v>
      </c>
      <c r="F156" s="202"/>
      <c r="G156" s="37" t="str">
        <f>VLOOKUP($A156,Questions!$A$2:$X$333,21,0)&amp;""</f>
        <v>Yes</v>
      </c>
      <c r="H156" s="192"/>
      <c r="I156" s="52" t="str">
        <f>VLOOKUP($A156,Questions!$A$2:$X$333,23,0)&amp;""</f>
        <v>Standard Importance</v>
      </c>
      <c r="J156" s="192"/>
      <c r="K156" s="55" t="b">
        <v>0</v>
      </c>
      <c r="L156" s="1"/>
    </row>
    <row r="157" spans="1:12" s="36" customFormat="1" ht="210" x14ac:dyDescent="0.25">
      <c r="A157" s="25" t="str">
        <f>Product!$A$49</f>
        <v>DATA-11</v>
      </c>
      <c r="B157" s="26" t="str">
        <f>VLOOKUP($A157,Product!$A$13:$E$61,2,0)&amp;""</f>
        <v>Do current backups include all operating system software, utilities, security software, application software, and data files necessary for recovery?</v>
      </c>
      <c r="C157" s="52" t="str">
        <f>VLOOKUP($A157,Product!$A$13:$E$61,3,0)&amp;""</f>
        <v>Yes</v>
      </c>
      <c r="D157" s="41" t="str">
        <f>IF(LEFT(VLOOKUP($A157,Product!$A$13:$E$61,5,0),21)='Auto Responses'!$A$73,'Auto Responses'!$A$74,VLOOKUP($A157,Product!$A$13:$E$61,4,0))&amp;""</f>
        <v>The CI/CD process used by Cirrus Identity enable the recreation of environments fit for purpose based on the database snapshot, AWS Simple Storage Service (S3), AWS Simple Systems Management (SSM), and the assets contained in the two Cirrus Identity code repositories.</v>
      </c>
      <c r="E157" s="351" t="str">
        <f>VLOOKUP($A157,Product!$A$13:$E$61,5,0)&amp;""</f>
        <v>Decribe your overall strategy to accomplish these elements.</v>
      </c>
      <c r="F157" s="202"/>
      <c r="G157" s="37" t="str">
        <f>VLOOKUP($A157,Questions!$A$2:$X$333,21,0)&amp;""</f>
        <v>Yes</v>
      </c>
      <c r="H157" s="192"/>
      <c r="I157" s="52" t="str">
        <f>VLOOKUP($A157,Questions!$A$2:$X$333,23,0)&amp;""</f>
        <v>Standard Importance</v>
      </c>
      <c r="J157" s="192"/>
      <c r="K157" s="55" t="b">
        <v>0</v>
      </c>
      <c r="L157" s="1"/>
    </row>
    <row r="158" spans="1:12" s="36" customFormat="1" ht="90" x14ac:dyDescent="0.25">
      <c r="A158" s="25" t="str">
        <f>Product!$A$50</f>
        <v>DATA-12</v>
      </c>
      <c r="B158" s="26" t="str">
        <f>VLOOKUP($A158,Product!$A$13:$E$61,2,0)&amp;""</f>
        <v>Are you performing off-site backups (i.e., digitally moved off site)?</v>
      </c>
      <c r="C158" s="52" t="str">
        <f>VLOOKUP($A158,Product!$A$13:$E$61,3,0)&amp;""</f>
        <v>Yes</v>
      </c>
      <c r="D158" s="41" t="str">
        <f>IF(LEFT(VLOOKUP($A158,Product!$A$13:$E$61,5,0),21)='Auto Responses'!$A$73,'Auto Responses'!$A$74,VLOOKUP($A158,Product!$A$13:$E$61,4,0))&amp;""</f>
        <v xml:space="preserve">Data backups are moved to a disaster recovery AWS region (DR) that is separate from the PROD systems. See DATA-07 </v>
      </c>
      <c r="E158" s="351" t="str">
        <f>VLOOKUP($A158,Product!$A$13:$E$61,5,0)&amp;""</f>
        <v>Summarize your off-site backup strategy.</v>
      </c>
      <c r="F158" s="202"/>
      <c r="G158" s="37" t="str">
        <f>VLOOKUP($A158,Questions!$A$2:$X$333,21,0)&amp;""</f>
        <v>Yes</v>
      </c>
      <c r="H158" s="192"/>
      <c r="I158" s="52" t="str">
        <f>VLOOKUP($A158,Questions!$A$2:$X$333,23,0)&amp;""</f>
        <v>Standard Importance</v>
      </c>
      <c r="J158" s="192"/>
      <c r="K158" s="55" t="b">
        <v>0</v>
      </c>
      <c r="L158" s="1"/>
    </row>
    <row r="159" spans="1:12" s="36" customFormat="1" ht="90" x14ac:dyDescent="0.25">
      <c r="A159" s="25" t="str">
        <f>Product!$A$51</f>
        <v>DATA-13</v>
      </c>
      <c r="B159" s="26" t="str">
        <f>VLOOKUP($A159,Product!$A$13:$E$61,2,0)&amp;""</f>
        <v>Are physical backups taken off-site (i.e., physically moved off site)?</v>
      </c>
      <c r="C159" s="52" t="str">
        <f>VLOOKUP($A159,Product!$A$13:$E$61,3,0)&amp;""</f>
        <v>Yes</v>
      </c>
      <c r="D159" s="41" t="str">
        <f>IF(LEFT(VLOOKUP($A159,Product!$A$13:$E$61,5,0),21)='Auto Responses'!$A$73,'Auto Responses'!$A$74,VLOOKUP($A159,Product!$A$13:$E$61,4,0))&amp;""</f>
        <v>Cirrus Identity relies on the AWS Aurora native mechanisms for backup and any associated practices for physical backups</v>
      </c>
      <c r="E159" s="351" t="str">
        <f>VLOOKUP($A159,Product!$A$13:$E$61,5,0)&amp;""</f>
        <v>Provide the distance (in miles) between the primary and off-site locations.</v>
      </c>
      <c r="F159" s="202"/>
      <c r="G159" s="37" t="str">
        <f>VLOOKUP($A159,Questions!$A$2:$X$333,21,0)&amp;""</f>
        <v>Yes</v>
      </c>
      <c r="H159" s="192"/>
      <c r="I159" s="52" t="str">
        <f>VLOOKUP($A159,Questions!$A$2:$X$333,23,0)&amp;""</f>
        <v>Standard Importance</v>
      </c>
      <c r="J159" s="192"/>
      <c r="K159" s="55" t="b">
        <v>0</v>
      </c>
      <c r="L159" s="1"/>
    </row>
    <row r="160" spans="1:12" s="36" customFormat="1" ht="75" x14ac:dyDescent="0.25">
      <c r="A160" s="25" t="str">
        <f>Product!$A$52</f>
        <v>DATA-14</v>
      </c>
      <c r="B160" s="26" t="str">
        <f>VLOOKUP($A160,Product!$A$13:$E$61,2,0)&amp;""</f>
        <v>Are data backups encrypted?</v>
      </c>
      <c r="C160" s="52" t="str">
        <f>VLOOKUP($A160,Product!$A$13:$E$61,3,0)&amp;""</f>
        <v>Yes</v>
      </c>
      <c r="D160" s="41" t="str">
        <f>IF(LEFT(VLOOKUP($A160,Product!$A$13:$E$61,5,0),21)='Auto Responses'!$A$73,'Auto Responses'!$A$74,VLOOKUP($A160,Product!$A$13:$E$61,4,0))&amp;""</f>
        <v>The AWS Aurora native mechanism is configured to use AES-256 for encryption.</v>
      </c>
      <c r="E160" s="351" t="str">
        <f>VLOOKUP($A160,Product!$A$13:$E$61,5,0)&amp;""</f>
        <v>Summarize the encryption algorithm/strategy you are using to secure backups.</v>
      </c>
      <c r="F160" s="202"/>
      <c r="G160" s="37" t="str">
        <f>VLOOKUP($A160,Questions!$A$2:$X$333,21,0)&amp;""</f>
        <v>Yes</v>
      </c>
      <c r="H160" s="192"/>
      <c r="I160" s="52" t="str">
        <f>VLOOKUP($A160,Questions!$A$2:$X$333,23,0)&amp;""</f>
        <v>Minor Importance</v>
      </c>
      <c r="J160" s="192"/>
      <c r="K160" s="55" t="b">
        <v>0</v>
      </c>
      <c r="L160" s="1"/>
    </row>
    <row r="161" spans="1:12" s="36" customFormat="1" ht="255" x14ac:dyDescent="0.25">
      <c r="A161" s="25" t="str">
        <f>Product!$A$53</f>
        <v>DATA-15</v>
      </c>
      <c r="B161" s="26" t="str">
        <f>VLOOKUP($A161,Product!$A$13:$E$61,2,0)&amp;""</f>
        <v>Do you have a media handling process that is documented and currently implemented that meets established business needs and regulatory requirements, including end-of-life, repurposing, and data-sanitization procedures?</v>
      </c>
      <c r="C161" s="52" t="str">
        <f>VLOOKUP($A161,Product!$A$13:$E$61,3,0)&amp;""</f>
        <v>Yes</v>
      </c>
      <c r="D161" s="41" t="str">
        <f>IF(LEFT(VLOOKUP($A161,Product!$A$13:$E$61,5,0),21)='Auto Responses'!$A$73,'Auto Responses'!$A$74,VLOOKUP($A161,Product!$A$13:$E$61,4,0))&amp;""</f>
        <v>Customer data is confined to the Cirrus Identity AWS Virtual Private Cloud (VPC). When customer data is no longer needed, it is deleted. Cirrus Identity relies on the media handling process of AWS for end-of-life, repurposing, and data sanitization procedures. See https://d1.awsstatic.com/whitepapers/compliance/AWS_SOC3.pdf for details.</v>
      </c>
      <c r="E161" s="351" t="str">
        <f>VLOOKUP($A161,Product!$A$13:$E$61,5,0)&amp;""</f>
        <v>Provide documented details of this process (link or attached).</v>
      </c>
      <c r="F161" s="202"/>
      <c r="G161" s="37" t="str">
        <f>VLOOKUP($A161,Questions!$A$2:$X$333,21,0)&amp;""</f>
        <v>Yes</v>
      </c>
      <c r="H161" s="192"/>
      <c r="I161" s="52" t="str">
        <f>VLOOKUP($A161,Questions!$A$2:$X$333,23,0)&amp;""</f>
        <v>Standard Importance</v>
      </c>
      <c r="J161" s="192"/>
      <c r="K161" s="55" t="b">
        <v>0</v>
      </c>
      <c r="L161" s="1"/>
    </row>
    <row r="162" spans="1:12" s="36" customFormat="1" ht="27" x14ac:dyDescent="0.25">
      <c r="A162" s="25" t="str">
        <f>Product!$A$54</f>
        <v>DATA-16</v>
      </c>
      <c r="B162" s="26" t="str">
        <f>VLOOKUP($A162,Product!$A$13:$E$61,2,0)&amp;""</f>
        <v>Does the process described in DATA-15 adhere to DoD 5220.22-M and/or NIST SP 800-88 standards?</v>
      </c>
      <c r="C162" s="52" t="str">
        <f>VLOOKUP($A162,Product!$A$13:$E$61,3,0)&amp;""</f>
        <v>Yes</v>
      </c>
      <c r="D162" s="41" t="str">
        <f>IF(LEFT(VLOOKUP($A162,Product!$A$13:$E$61,5,0),21)='Auto Responses'!$A$73,'Auto Responses'!$A$74,VLOOKUP($A162,Product!$A$13:$E$61,4,0))&amp;""</f>
        <v/>
      </c>
      <c r="E162" s="351" t="str">
        <f>VLOOKUP($A162,Product!$A$13:$E$61,5,0)&amp;""</f>
        <v/>
      </c>
      <c r="F162" s="202"/>
      <c r="G162" s="37" t="str">
        <f>VLOOKUP($A162,Questions!$A$2:$X$333,21,0)&amp;""</f>
        <v>Yes</v>
      </c>
      <c r="H162" s="192"/>
      <c r="I162" s="52" t="str">
        <f>VLOOKUP($A162,Questions!$A$2:$X$333,23,0)&amp;""</f>
        <v>Standard Importance</v>
      </c>
      <c r="J162" s="192"/>
      <c r="K162" s="55" t="b">
        <v>0</v>
      </c>
      <c r="L162" s="1"/>
    </row>
    <row r="163" spans="1:12" s="36" customFormat="1" ht="240" x14ac:dyDescent="0.25">
      <c r="A163" s="25" t="str">
        <f>Product!$A$55</f>
        <v>DATA-17</v>
      </c>
      <c r="B163" s="26" t="str">
        <f>VLOOKUP($A163,Product!$A$13:$E$61,2,0)&amp;""</f>
        <v>Does your staff (or third party) have access to institutional data (e.g., financial, PHI, or other sensitive information) through any means?</v>
      </c>
      <c r="C163" s="52" t="str">
        <f>VLOOKUP($A163,Product!$A$13:$E$61,3,0)&amp;""</f>
        <v>Yes</v>
      </c>
      <c r="D163" s="41" t="str">
        <f>IF(LEFT(VLOOKUP($A163,Product!$A$13:$E$61,5,0),21)='Auto Responses'!$A$73,'Auto Responses'!$A$74,VLOOKUP($A163,Product!$A$13:$E$61,4,0))&amp;""</f>
        <v>Cirrus Identity staff that has an operational need, have access to the same data that customer staff with administrative authorization in the Cirrus Administrative console have access to. Certain third parties have access to institutional data by the fact Cirrus Identity runs services on third-party infrastructure (such as AWS).</v>
      </c>
      <c r="E163" s="351" t="str">
        <f>VLOOKUP($A163,Product!$A$13:$E$61,5,0)&amp;""</f>
        <v>Summarize what access staff (or third parties) have to institutional data.</v>
      </c>
      <c r="F163" s="202"/>
      <c r="G163" s="37" t="str">
        <f>VLOOKUP($A163,Questions!$A$2:$X$333,21,0)&amp;""</f>
        <v>Yes</v>
      </c>
      <c r="H163" s="192"/>
      <c r="I163" s="52" t="str">
        <f>VLOOKUP($A163,Questions!$A$2:$X$333,23,0)&amp;""</f>
        <v>Standard Importance</v>
      </c>
      <c r="J163" s="192"/>
      <c r="K163" s="55" t="b">
        <v>0</v>
      </c>
      <c r="L163" s="1"/>
    </row>
    <row r="164" spans="1:12" s="36" customFormat="1" ht="90" x14ac:dyDescent="0.25">
      <c r="A164" s="25" t="str">
        <f>Product!$A$56</f>
        <v>DATA-18</v>
      </c>
      <c r="B164" s="26" t="str">
        <f>VLOOKUP($A164,Product!$A$13:$E$61,2,0)&amp;""</f>
        <v>Do you have a documented and currently implemented strategy for securing employee workstations when they work remotely (i.e., not in a trusted computing environment)?</v>
      </c>
      <c r="C164" s="52" t="str">
        <f>VLOOKUP($A164,Product!$A$13:$E$61,3,0)&amp;""</f>
        <v>Yes</v>
      </c>
      <c r="D164" s="41" t="str">
        <f>IF(LEFT(VLOOKUP($A164,Product!$A$13:$E$61,5,0),21)='Auto Responses'!$A$73,'Auto Responses'!$A$74,VLOOKUP($A164,Product!$A$13:$E$61,4,0))&amp;""</f>
        <v>Staff are responsible for securing workstations per the Cirrus Identity Information Security Policy.</v>
      </c>
      <c r="E164" s="351" t="str">
        <f>VLOOKUP($A164,Product!$A$13:$E$61,5,0)&amp;""</f>
        <v>Provide a detailed summary outlining the security controls implemented to protect the institution's data.</v>
      </c>
      <c r="F164" s="202"/>
      <c r="G164" s="37" t="str">
        <f>VLOOKUP($A164,Questions!$A$2:$X$333,21,0)&amp;""</f>
        <v>Yes</v>
      </c>
      <c r="H164" s="192"/>
      <c r="I164" s="52" t="str">
        <f>VLOOKUP($A164,Questions!$A$2:$X$333,23,0)&amp;""</f>
        <v>Standard Importance</v>
      </c>
      <c r="J164" s="192"/>
      <c r="K164" s="55" t="b">
        <v>0</v>
      </c>
      <c r="L164" s="1"/>
    </row>
    <row r="165" spans="1:12" s="36" customFormat="1" ht="315" x14ac:dyDescent="0.25">
      <c r="A165" s="25" t="str">
        <f>Product!$A$57</f>
        <v>DATA-19</v>
      </c>
      <c r="B165" s="26" t="str">
        <f>VLOOKUP($A165,Product!$A$13:$E$61,2,0)&amp;""</f>
        <v>Does the environment provide for dedicated single-tenant capabilities? If not, describe how your solution or environment separates data from different customers (e.g., logically, physically, single tenancy, multi-tenancy).</v>
      </c>
      <c r="C165" s="52" t="str">
        <f>VLOOKUP($A165,Product!$A$13:$E$61,3,0)&amp;""</f>
        <v>No</v>
      </c>
      <c r="D165" s="41" t="str">
        <f>IF(LEFT(VLOOKUP($A165,Product!$A$13:$E$61,5,0),21)='Auto Responses'!$A$73,'Auto Responses'!$A$74,VLOOKUP($A165,Product!$A$13:$E$61,4,0))&amp;""</f>
        <v>Cirrus Identity Products are implemented using a multitenancy architecture. Data and configuration is logically partitioned by application logic based on organization based identifiers. There is no current plan to physically separate individual customer data. If there is sufficient customer need, customers with different data residency requirements may be partitioned into separate regional deployments.</v>
      </c>
      <c r="E165" s="351" t="str">
        <f>VLOOKUP($A165,Product!$A$13:$E$61,5,0)&amp;""</f>
        <v>Describe your plan to separate institution data from that of other customers.</v>
      </c>
      <c r="F165" s="202"/>
      <c r="G165" s="37" t="str">
        <f>VLOOKUP($A165,Questions!$A$2:$X$333,21,0)&amp;""</f>
        <v>Yes</v>
      </c>
      <c r="H165" s="192"/>
      <c r="I165" s="52" t="str">
        <f>VLOOKUP($A165,Questions!$A$2:$X$333,23,0)&amp;""</f>
        <v>Minor Importance</v>
      </c>
      <c r="J165" s="192"/>
      <c r="K165" s="55" t="b">
        <v>0</v>
      </c>
      <c r="L165" s="1"/>
    </row>
    <row r="166" spans="1:12" s="36" customFormat="1" ht="330" x14ac:dyDescent="0.25">
      <c r="A166" s="25" t="str">
        <f>Product!$A$58</f>
        <v>DATA-20</v>
      </c>
      <c r="B166" s="26" t="str">
        <f>VLOOKUP($A166,Product!$A$13:$E$61,2,0)&amp;""</f>
        <v>Are ownership rights to all data, inputs, outputs, and metadata retained by the institution?</v>
      </c>
      <c r="C166" s="52" t="str">
        <f>VLOOKUP($A166,Product!$A$13:$E$61,3,0)&amp;""</f>
        <v>Yes</v>
      </c>
      <c r="D166" s="41" t="str">
        <f>IF(LEFT(VLOOKUP($A166,Product!$A$13:$E$61,5,0),21)='Auto Responses'!$A$73,'Auto Responses'!$A$74,VLOOKUP($A166,Product!$A$13:$E$61,4,0))&amp;""</f>
        <v>Customers are data controllers for all data collected and retained by Cirrus Identity services. The specific customer, third party, and end user rights and obligations are enumerated in the Cirrus Identity Privacy Policy (https://www.cirrusidentity.com/cirrus-trust-and-compliance) unless modified by contract. Blanket ownership rights do not reside with the customer because of the nature of the services Cirrus Identity offers.</v>
      </c>
      <c r="E166" s="351" t="str">
        <f>VLOOKUP($A166,Product!$A$13:$E$61,5,0)&amp;""</f>
        <v>Provide reference to your data ownership documention.</v>
      </c>
      <c r="F166" s="202"/>
      <c r="G166" s="37" t="str">
        <f>VLOOKUP($A166,Questions!$A$2:$X$333,21,0)&amp;""</f>
        <v>Yes</v>
      </c>
      <c r="H166" s="192"/>
      <c r="I166" s="52" t="str">
        <f>VLOOKUP($A166,Questions!$A$2:$X$333,23,0)&amp;""</f>
        <v>Minor Importance</v>
      </c>
      <c r="J166" s="192"/>
      <c r="K166" s="55" t="b">
        <v>0</v>
      </c>
      <c r="L166" s="1"/>
    </row>
    <row r="167" spans="1:12" s="36" customFormat="1" ht="60" x14ac:dyDescent="0.25">
      <c r="A167" s="25" t="str">
        <f>Product!$A$59</f>
        <v>DATA-21</v>
      </c>
      <c r="B167" s="26" t="str">
        <f>VLOOKUP($A167,Product!$A$13:$E$61,2,0)&amp;""</f>
        <v>In the event of imminent bankruptcy, closing of business, or retirement of service, will you provide 90 days for customers to get their data out of the system and migrate applications?</v>
      </c>
      <c r="C167" s="52" t="str">
        <f>VLOOKUP($A167,Product!$A$13:$E$61,3,0)&amp;""</f>
        <v>No</v>
      </c>
      <c r="D167" s="41" t="str">
        <f>IF(LEFT(VLOOKUP($A167,Product!$A$13:$E$61,5,0),21)='Auto Responses'!$A$73,'Auto Responses'!$A$74,VLOOKUP($A167,Product!$A$13:$E$61,4,0))&amp;""</f>
        <v>Customers will have up to 30 days after termination of the contract.</v>
      </c>
      <c r="E167" s="351" t="str">
        <f>VLOOKUP($A167,Product!$A$13:$E$61,5,0)&amp;""</f>
        <v>Provide a detailed summary to support your selection.</v>
      </c>
      <c r="F167" s="202"/>
      <c r="G167" s="37" t="str">
        <f>VLOOKUP($A167,Questions!$A$2:$X$333,21,0)&amp;""</f>
        <v>Yes</v>
      </c>
      <c r="H167" s="192"/>
      <c r="I167" s="52" t="str">
        <f>VLOOKUP($A167,Questions!$A$2:$X$333,23,0)&amp;""</f>
        <v>Minor Importance</v>
      </c>
      <c r="J167" s="192"/>
      <c r="K167" s="55" t="b">
        <v>0</v>
      </c>
      <c r="L167" s="1"/>
    </row>
    <row r="168" spans="1:12" s="36" customFormat="1" ht="105" x14ac:dyDescent="0.25">
      <c r="A168" s="25" t="str">
        <f>Product!$A$60</f>
        <v>DATA-22</v>
      </c>
      <c r="B168" s="26" t="str">
        <f>VLOOKUP($A168,Product!$A$13:$E$61,2,0)&amp;""</f>
        <v>Are involatile backup copies made according to predefined schedules and securely stored and protected?</v>
      </c>
      <c r="C168" s="52" t="str">
        <f>VLOOKUP($A168,Product!$A$13:$E$61,3,0)&amp;""</f>
        <v>Yes</v>
      </c>
      <c r="D168" s="41" t="str">
        <f>IF(LEFT(VLOOKUP($A168,Product!$A$13:$E$61,5,0),21)='Auto Responses'!$A$73,'Auto Responses'!$A$74,VLOOKUP($A168,Product!$A$13:$E$61,4,0))&amp;""</f>
        <v>Cirrus Identity uses AWS Aurora Automated Backup for recurring and durable backup over a period of seven (7) calendar days.</v>
      </c>
      <c r="E168" s="351" t="str">
        <f>VLOOKUP($A168,Product!$A$13:$E$61,5,0)&amp;""</f>
        <v>If your strategy uses different processes for services and data, ensure that all strategies are clearly stated and supported.</v>
      </c>
      <c r="F168" s="202"/>
      <c r="G168" s="37" t="str">
        <f>VLOOKUP($A168,Questions!$A$2:$X$333,21,0)&amp;""</f>
        <v>Yes</v>
      </c>
      <c r="H168" s="192"/>
      <c r="I168" s="52" t="str">
        <f>VLOOKUP($A168,Questions!$A$2:$X$333,23,0)&amp;""</f>
        <v>Minor Importance</v>
      </c>
      <c r="J168" s="192"/>
      <c r="K168" s="55" t="b">
        <v>0</v>
      </c>
      <c r="L168" s="1"/>
    </row>
    <row r="169" spans="1:12" s="36" customFormat="1" ht="54" x14ac:dyDescent="0.25">
      <c r="A169" s="25" t="str">
        <f>Product!$A$61</f>
        <v>DATA-23</v>
      </c>
      <c r="B169" s="26" t="str">
        <f>VLOOKUP($A169,Product!$A$13:$E$61,2,0)&amp;""</f>
        <v>Do you have a cryptographic key management process (generation, exchange, storage, safeguards, use, vetting, and replacement) that is documented and currently implemented, for all system components (e.g., database, system, web, etc.)?</v>
      </c>
      <c r="C169" s="52" t="str">
        <f>VLOOKUP($A169,Product!$A$13:$E$61,3,0)&amp;""</f>
        <v>Yes</v>
      </c>
      <c r="D169" s="41" t="str">
        <f>IF(LEFT(VLOOKUP($A169,Product!$A$13:$E$61,5,0),21)='Auto Responses'!$A$73,'Auto Responses'!$A$74,VLOOKUP($A169,Product!$A$13:$E$61,4,0))&amp;""</f>
        <v/>
      </c>
      <c r="E169" s="351" t="str">
        <f>VLOOKUP($A169,Product!$A$13:$E$61,5,0)&amp;""</f>
        <v/>
      </c>
      <c r="F169" s="202"/>
      <c r="G169" s="37" t="str">
        <f>VLOOKUP($A169,Questions!$A$2:$X$333,21,0)&amp;""</f>
        <v>Yes</v>
      </c>
      <c r="H169" s="192"/>
      <c r="I169" s="52" t="str">
        <f>VLOOKUP($A169,Questions!$A$2:$X$333,23,0)&amp;""</f>
        <v>Minor Importance</v>
      </c>
      <c r="J169" s="192"/>
      <c r="K169" s="55" t="b">
        <v>0</v>
      </c>
      <c r="L169" s="1"/>
    </row>
    <row r="170" spans="1:12" s="1" customFormat="1" ht="17.5" x14ac:dyDescent="0.25">
      <c r="A170" s="70" t="str">
        <f>VLOOKUP(LEFT($A171,4),'Auto Responses'!$N$4:$O$38,2,0)&amp;""</f>
        <v xml:space="preserve"> Application/Service Security</v>
      </c>
      <c r="B170" s="29"/>
      <c r="C170" s="38"/>
      <c r="D170" s="38"/>
      <c r="E170" s="352"/>
      <c r="F170" s="139" t="s">
        <v>1089</v>
      </c>
      <c r="G170" s="359" t="s">
        <v>925</v>
      </c>
      <c r="H170" s="359" t="s">
        <v>927</v>
      </c>
      <c r="I170" s="359" t="s">
        <v>19</v>
      </c>
      <c r="J170" s="359" t="s">
        <v>912</v>
      </c>
      <c r="K170" s="38"/>
    </row>
    <row r="171" spans="1:12" s="36" customFormat="1" ht="120" x14ac:dyDescent="0.25">
      <c r="A171" s="25" t="str">
        <f>Infrastructure!$A$20</f>
        <v>APPL-01</v>
      </c>
      <c r="B171" s="26" t="str">
        <f>VLOOKUP($A171,Infrastructure!$A$13:$E$74,2,0)&amp;""</f>
        <v>Are access controls for institutional accounts based on structured rules, such as role-based access control (RBAC), attribute-based access control (ABAC), or policy-based access control (PBAC)?*</v>
      </c>
      <c r="C171" s="52" t="str">
        <f>VLOOKUP($A171,Infrastructure!$A$13:$E$74,3,0)&amp;""</f>
        <v>Yes</v>
      </c>
      <c r="D171" s="41" t="str">
        <f>IF(LEFT(VLOOKUP($A171,Infrastructure!$A$13:$E$74,5,0),21)='Auto Responses'!$A$73,'Auto Responses'!$A$74,VLOOKUP($A171,Infrastructure!$A$13:$E$74,4,0))&amp;""</f>
        <v>The Cirrus Identity Products are used to provide access to downstream service providers. Depending on service provider; RBAC, ABAC, or PBAC can be supported.</v>
      </c>
      <c r="E171" s="351" t="str">
        <f>VLOOKUP($A171,Infrastructure!$A$13:$E$74,5,0)&amp;""</f>
        <v>Describe available roles.</v>
      </c>
      <c r="F171" s="202"/>
      <c r="G171" s="37" t="str">
        <f>VLOOKUP($A171,Questions!$A$2:$X$333,21,0)&amp;""</f>
        <v>Yes</v>
      </c>
      <c r="H171" s="192"/>
      <c r="I171" s="52" t="str">
        <f>VLOOKUP($A171,Questions!$A$2:$X$333,23,0)&amp;""</f>
        <v>Critical Importance</v>
      </c>
      <c r="J171" s="192"/>
      <c r="K171" s="55" t="b">
        <v>0</v>
      </c>
      <c r="L171" s="1"/>
    </row>
    <row r="172" spans="1:12" s="36" customFormat="1" ht="90" x14ac:dyDescent="0.25">
      <c r="A172" s="25" t="str">
        <f>Infrastructure!$A$21</f>
        <v>APPL-02</v>
      </c>
      <c r="B172" s="26" t="str">
        <f>VLOOKUP($A172,Infrastructure!$A$13:$E$74,2,0)&amp;""</f>
        <v>Are you using a web application firewall (WAF)?*</v>
      </c>
      <c r="C172" s="52" t="str">
        <f>VLOOKUP($A172,Infrastructure!$A$13:$E$74,3,0)&amp;""</f>
        <v>Yes</v>
      </c>
      <c r="D172" s="41" t="str">
        <f>IF(LEFT(VLOOKUP($A172,Infrastructure!$A$13:$E$74,5,0),21)='Auto Responses'!$A$73,'Auto Responses'!$A$74,VLOOKUP($A172,Infrastructure!$A$13:$E$74,4,0))&amp;""</f>
        <v>Cirrus Identity has implemented AWS WAF -- https://aws.amazon.com/waf/?nc2=h_ql_prod_se_waf</v>
      </c>
      <c r="E172" s="351" t="str">
        <f>VLOOKUP($A172,Infrastructure!$A$13:$E$74,5,0)&amp;""</f>
        <v>Describe the currently implemented WAF.</v>
      </c>
      <c r="F172" s="202"/>
      <c r="G172" s="37" t="str">
        <f>VLOOKUP($A172,Questions!$A$2:$X$333,21,0)&amp;""</f>
        <v>Yes</v>
      </c>
      <c r="H172" s="192"/>
      <c r="I172" s="52" t="str">
        <f>VLOOKUP($A172,Questions!$A$2:$X$333,23,0)&amp;""</f>
        <v>Critical Importance</v>
      </c>
      <c r="J172" s="192"/>
      <c r="K172" s="55" t="b">
        <v>0</v>
      </c>
      <c r="L172" s="1"/>
    </row>
    <row r="173" spans="1:12" s="36" customFormat="1" ht="409.5" x14ac:dyDescent="0.25">
      <c r="A173" s="25" t="str">
        <f>Infrastructure!$A$22</f>
        <v>APPL-03</v>
      </c>
      <c r="B173" s="26" t="str">
        <f>VLOOKUP($A173,Infrastructure!$A$13:$E$74,2,0)&amp;""</f>
        <v>Are only currently supported operating system(s), software, and libraries leveraged by the system(s)/application(s) that will have access to institution's data?*</v>
      </c>
      <c r="C173" s="52" t="str">
        <f>VLOOKUP($A173,Infrastructure!$A$13:$E$74,3,0)&amp;""</f>
        <v>Yes</v>
      </c>
      <c r="D173" s="41" t="str">
        <f>IF(LEFT(VLOOKUP($A173,Infrastructure!$A$13:$E$74,5,0),21)='Auto Responses'!$A$73,'Auto Responses'!$A$74,VLOOKUP($A173,Infrastructure!$A$13:$E$74,4,0))&amp;""</f>
        <v>Cirrus Identity reviews all new dependencies for active maintenance to support timely updates to identified vulnerabilities. In limited cases, a product dependency falls out of active support after integration into the Cirrus product. In these cases, Cirrus will backport fixes to address vulnerabilities or otherwise implement compensating measures to manage risks while working toward replacement of the dependency. These mitigations and transition steps are defined as part of an associated risk management plan. Subject to the terms of contract,</v>
      </c>
      <c r="E173" s="351" t="str">
        <f>VLOOKUP($A173,Infrastructure!$A$13:$E$74,5,0)&amp;""</f>
        <v>Please provide a list of all required dependencies.</v>
      </c>
      <c r="F173" s="202"/>
      <c r="G173" s="37" t="str">
        <f>VLOOKUP($A173,Questions!$A$2:$X$333,21,0)&amp;""</f>
        <v>Yes</v>
      </c>
      <c r="H173" s="192"/>
      <c r="I173" s="52" t="str">
        <f>VLOOKUP($A173,Questions!$A$2:$X$333,23,0)&amp;""</f>
        <v>Critical Importance</v>
      </c>
      <c r="J173" s="192"/>
      <c r="K173" s="55" t="b">
        <v>0</v>
      </c>
      <c r="L173" s="1"/>
    </row>
    <row r="174" spans="1:12" s="36" customFormat="1" ht="60" x14ac:dyDescent="0.25">
      <c r="A174" s="25" t="str">
        <f>Infrastructure!$A$23</f>
        <v>APPL-04</v>
      </c>
      <c r="B174" s="26" t="str">
        <f>VLOOKUP($A174,Infrastructure!$A$13:$E$74,2,0)&amp;""</f>
        <v>Does your application require access to location or GPS data?</v>
      </c>
      <c r="C174" s="52" t="str">
        <f>VLOOKUP($A174,Infrastructure!$A$13:$E$74,3,0)&amp;""</f>
        <v>No</v>
      </c>
      <c r="D174" s="41" t="str">
        <f>IF(LEFT(VLOOKUP($A174,Infrastructure!$A$13:$E$74,5,0),21)='Auto Responses'!$A$73,'Auto Responses'!$A$74,VLOOKUP($A174,Infrastructure!$A$13:$E$74,4,0))&amp;""</f>
        <v>There are no plans to require access to location or GPS data.</v>
      </c>
      <c r="E174" s="351" t="str">
        <f>VLOOKUP($A174,Infrastructure!$A$13:$E$74,5,0)&amp;""</f>
        <v>Please indicate any future plans that would require access to this data</v>
      </c>
      <c r="F174" s="202"/>
      <c r="G174" s="37" t="str">
        <f>VLOOKUP($A174,Questions!$A$2:$X$333,21,0)&amp;""</f>
        <v>No</v>
      </c>
      <c r="H174" s="192"/>
      <c r="I174" s="52" t="str">
        <f>VLOOKUP($A174,Questions!$A$2:$X$333,23,0)&amp;""</f>
        <v>Critical Importance</v>
      </c>
      <c r="J174" s="192"/>
      <c r="K174" s="55" t="b">
        <v>0</v>
      </c>
      <c r="L174" s="1"/>
    </row>
    <row r="175" spans="1:12" s="36" customFormat="1" ht="345" x14ac:dyDescent="0.25">
      <c r="A175" s="25" t="str">
        <f>Infrastructure!$A$24</f>
        <v>APPL-05</v>
      </c>
      <c r="B175" s="26" t="str">
        <f>VLOOKUP($A175,Infrastructure!$A$13:$E$74,2,0)&amp;""</f>
        <v>Does your application provide separation of duties between security administration, system administration, and standard user functions?*</v>
      </c>
      <c r="C175" s="52" t="str">
        <f>VLOOKUP($A175,Infrastructure!$A$13:$E$74,3,0)&amp;""</f>
        <v>Yes</v>
      </c>
      <c r="D175" s="41" t="str">
        <f>IF(LEFT(VLOOKUP($A175,Infrastructure!$A$13:$E$74,5,0),21)='Auto Responses'!$A$73,'Auto Responses'!$A$74,VLOOKUP($A175,Infrastructure!$A$13:$E$74,4,0))&amp;""</f>
        <v xml:space="preserve">The primary separation of duty control is the use of federated access to access the Cirrus Administrative Console. Since organization administrators log in using their organization's credential, there is a separation between the administrative functions in the Cirrus Console and any access logging. Further, since the solution is hosted, the organization administrators do not have direct access to logs that record their activities. </v>
      </c>
      <c r="E175" s="351" t="str">
        <f>VLOOKUP($A175,Infrastructure!$A$13:$E$74,5,0)&amp;""</f>
        <v>Describe or provide a reference to the facilities available in the system to provide separation of duties between security administration and system administration functions.</v>
      </c>
      <c r="F175" s="202"/>
      <c r="G175" s="37" t="str">
        <f>VLOOKUP($A175,Questions!$A$2:$X$333,21,0)&amp;""</f>
        <v>Yes</v>
      </c>
      <c r="H175" s="192"/>
      <c r="I175" s="52" t="str">
        <f>VLOOKUP($A175,Questions!$A$2:$X$333,23,0)&amp;""</f>
        <v>Critical Importance</v>
      </c>
      <c r="J175" s="192"/>
      <c r="K175" s="55" t="b">
        <v>0</v>
      </c>
      <c r="L175" s="1"/>
    </row>
    <row r="176" spans="1:12" s="36" customFormat="1" ht="409.5" x14ac:dyDescent="0.25">
      <c r="A176" s="25" t="str">
        <f>Infrastructure!$A$25</f>
        <v>APPL-06</v>
      </c>
      <c r="B176" s="26" t="str">
        <f>VLOOKUP($A176,Infrastructure!$A$13:$E$74,2,0)&amp;""</f>
        <v>Do you subject your code to static code analysis and/or static application security testing prior to release?*</v>
      </c>
      <c r="C176" s="52" t="str">
        <f>VLOOKUP($A176,Infrastructure!$A$13:$E$74,3,0)&amp;""</f>
        <v>Yes</v>
      </c>
      <c r="D176" s="41" t="str">
        <f>IF(LEFT(VLOOKUP($A176,Infrastructure!$A$13:$E$74,5,0),21)='Auto Responses'!$A$73,'Auto Responses'!$A$74,VLOOKUP($A176,Infrastructure!$A$13:$E$74,4,0))&amp;""</f>
        <v xml:space="preserve">We leverage vulnerability checking as part of our change management process:  
PHP/SSP -- local-php-security-checker  (https://github.com/fabpot/local-php-security-checker) (migrating from)
PHP/SSP -- "audit" capability of PHP composer package manager (migrating to)
PHP/SSP -- Psalm (https://psalm.dev)
Groovy/Grails -- CodeNarc (https://codenarc.org/)
Python -- pylint and bandit
VUE -- ESLint
GitHub -- code repository scanning
AWS -- container repository scanning
</v>
      </c>
      <c r="E176" s="351" t="str">
        <f>VLOOKUP($A176,Infrastructure!$A$13:$E$74,5,0)&amp;""</f>
        <v>Provide a list of all tools utilized during static code analysis or static application security testing.</v>
      </c>
      <c r="F176" s="202"/>
      <c r="G176" s="37" t="str">
        <f>VLOOKUP($A176,Questions!$A$2:$X$333,21,0)&amp;""</f>
        <v>Yes</v>
      </c>
      <c r="H176" s="192"/>
      <c r="I176" s="52" t="str">
        <f>VLOOKUP($A176,Questions!$A$2:$X$333,23,0)&amp;""</f>
        <v>Critical Importance</v>
      </c>
      <c r="J176" s="192"/>
      <c r="K176" s="55" t="b">
        <v>0</v>
      </c>
      <c r="L176" s="1"/>
    </row>
    <row r="177" spans="1:12" s="36" customFormat="1" ht="195" x14ac:dyDescent="0.25">
      <c r="A177" s="25" t="str">
        <f>Infrastructure!$A$26</f>
        <v>APPL-07</v>
      </c>
      <c r="B177" s="26" t="str">
        <f>VLOOKUP($A177,Infrastructure!$A$13:$E$74,2,0)&amp;""</f>
        <v>Do you have software testing processes (dynamic or static) that are established and followed?*</v>
      </c>
      <c r="C177" s="52" t="str">
        <f>VLOOKUP($A177,Infrastructure!$A$13:$E$74,3,0)&amp;""</f>
        <v>Yes</v>
      </c>
      <c r="D177" s="41" t="str">
        <f>IF(LEFT(VLOOKUP($A177,Infrastructure!$A$13:$E$74,5,0),21)='Auto Responses'!$A$73,'Auto Responses'!$A$74,VLOOKUP($A177,Infrastructure!$A$13:$E$74,4,0))&amp;""</f>
        <v>Software and new configurations are tested using a dedicated QA environment instrumented with a base set of automated tests. This environment is also used to perform manual testing. Both testing would be considered dynamic.</v>
      </c>
      <c r="E177" s="351" t="str">
        <f>VLOOKUP($A177,Infrastructure!$A$13:$E$74,5,0)&amp;""</f>
        <v>Describe testing processes, including but not limited to, development of test plans, personnel involved in the testing process, and authorized individual accountable for approval and certification of test results.</v>
      </c>
      <c r="F177" s="202"/>
      <c r="G177" s="37" t="str">
        <f>VLOOKUP($A177,Questions!$A$2:$X$333,21,0)&amp;""</f>
        <v>Yes</v>
      </c>
      <c r="H177" s="192"/>
      <c r="I177" s="52" t="str">
        <f>VLOOKUP($A177,Questions!$A$2:$X$333,23,0)&amp;""</f>
        <v>Critical Importance</v>
      </c>
      <c r="J177" s="192"/>
      <c r="K177" s="55" t="b">
        <v>0</v>
      </c>
      <c r="L177" s="1"/>
    </row>
    <row r="178" spans="1:12" s="36" customFormat="1" ht="27" x14ac:dyDescent="0.25">
      <c r="A178" s="25" t="str">
        <f>Infrastructure!$A$27</f>
        <v>APPL-08</v>
      </c>
      <c r="B178" s="26" t="str">
        <f>VLOOKUP($A178,Infrastructure!$A$13:$E$74,2,0)&amp;""</f>
        <v>Are access controls for staff within your organization based on structured rules, such as RBAC, ABAC, or PBAC?</v>
      </c>
      <c r="C178" s="52" t="str">
        <f>VLOOKUP($A178,Infrastructure!$A$13:$E$74,3,0)&amp;""</f>
        <v>Yes</v>
      </c>
      <c r="D178" s="41" t="str">
        <f>IF(LEFT(VLOOKUP($A178,Infrastructure!$A$13:$E$74,5,0),21)='Auto Responses'!$A$73,'Auto Responses'!$A$74,VLOOKUP($A178,Infrastructure!$A$13:$E$74,4,0))&amp;""</f>
        <v/>
      </c>
      <c r="E178" s="351" t="str">
        <f>VLOOKUP($A178,Infrastructure!$A$13:$E$74,5,0)&amp;""</f>
        <v/>
      </c>
      <c r="F178" s="202"/>
      <c r="G178" s="37" t="str">
        <f>VLOOKUP($A178,Questions!$A$2:$X$333,21,0)&amp;""</f>
        <v>Yes</v>
      </c>
      <c r="H178" s="192"/>
      <c r="I178" s="52" t="str">
        <f>VLOOKUP($A178,Questions!$A$2:$X$333,23,0)&amp;""</f>
        <v>Standard Importance</v>
      </c>
      <c r="J178" s="192"/>
      <c r="K178" s="55" t="b">
        <v>0</v>
      </c>
      <c r="L178" s="1"/>
    </row>
    <row r="179" spans="1:12" s="36" customFormat="1" ht="135" x14ac:dyDescent="0.25">
      <c r="A179" s="25" t="str">
        <f>Infrastructure!$A$28</f>
        <v>APPL-09</v>
      </c>
      <c r="B179" s="26" t="str">
        <f>VLOOKUP($A179,Infrastructure!$A$13:$E$74,2,0)&amp;""</f>
        <v>Does the system provide data input validation and error messages?</v>
      </c>
      <c r="C179" s="52" t="str">
        <f>VLOOKUP($A179,Infrastructure!$A$13:$E$74,3,0)&amp;""</f>
        <v>Yes</v>
      </c>
      <c r="D179" s="41" t="str">
        <f>IF(LEFT(VLOOKUP($A179,Infrastructure!$A$13:$E$74,5,0),21)='Auto Responses'!$A$73,'Auto Responses'!$A$74,VLOOKUP($A179,Infrastructure!$A$13:$E$74,4,0))&amp;""</f>
        <v>Questions about input validation and error message capabilities can be answered by using Cirrus Identity Support Center (https://www.cirrusidentity.com/resources/service-desk).</v>
      </c>
      <c r="E179" s="351" t="str">
        <f>VLOOKUP($A179,Infrastructure!$A$13:$E$74,5,0)&amp;""</f>
        <v>Describe how your system(s) provide data input validation and error messages.</v>
      </c>
      <c r="F179" s="202"/>
      <c r="G179" s="37" t="str">
        <f>VLOOKUP($A179,Questions!$A$2:$X$333,21,0)&amp;""</f>
        <v>Yes</v>
      </c>
      <c r="H179" s="192"/>
      <c r="I179" s="52" t="str">
        <f>VLOOKUP($A179,Questions!$A$2:$X$333,23,0)&amp;""</f>
        <v>Standard Importance</v>
      </c>
      <c r="J179" s="192"/>
      <c r="K179" s="55" t="b">
        <v>0</v>
      </c>
      <c r="L179" s="1"/>
    </row>
    <row r="180" spans="1:12" s="36" customFormat="1" ht="90" x14ac:dyDescent="0.25">
      <c r="A180" s="25" t="str">
        <f>Infrastructure!$A$29</f>
        <v>APPL-10</v>
      </c>
      <c r="B180" s="26" t="str">
        <f>VLOOKUP($A180,Infrastructure!$A$13:$E$74,2,0)&amp;""</f>
        <v>Do you have a process and implemented procedures for managing your software supply chain (e.g., libraries, repositories, frameworks, etc.)</v>
      </c>
      <c r="C180" s="52" t="str">
        <f>VLOOKUP($A180,Infrastructure!$A$13:$E$74,3,0)&amp;""</f>
        <v>Yes</v>
      </c>
      <c r="D180" s="41" t="str">
        <f>IF(LEFT(VLOOKUP($A180,Infrastructure!$A$13:$E$74,5,0),21)='Auto Responses'!$A$73,'Auto Responses'!$A$74,VLOOKUP($A180,Infrastructure!$A$13:$E$74,4,0))&amp;""</f>
        <v xml:space="preserve">Cirrus Identity has a SDLC process, and leverages static code analysis tools to manage the software supply chain. </v>
      </c>
      <c r="E180" s="351" t="str">
        <f>VLOOKUP($A180,Infrastructure!$A$13:$E$74,5,0)&amp;""</f>
        <v>Provide supporting documentation of your processes.</v>
      </c>
      <c r="F180" s="202"/>
      <c r="G180" s="37" t="str">
        <f>VLOOKUP($A180,Questions!$A$2:$X$333,21,0)&amp;""</f>
        <v>Yes</v>
      </c>
      <c r="H180" s="192"/>
      <c r="I180" s="52" t="str">
        <f>VLOOKUP($A180,Questions!$A$2:$X$333,23,0)&amp;""</f>
        <v>Standard Importance</v>
      </c>
      <c r="J180" s="192"/>
      <c r="K180" s="55" t="b">
        <v>0</v>
      </c>
      <c r="L180" s="1"/>
    </row>
    <row r="181" spans="1:12" s="36" customFormat="1" ht="135" x14ac:dyDescent="0.25">
      <c r="A181" s="25" t="str">
        <f>Infrastructure!$A$30</f>
        <v>APPL-11</v>
      </c>
      <c r="B181" s="26" t="str">
        <f>VLOOKUP($A181,Infrastructure!$A$13:$E$74,2,0)&amp;""</f>
        <v>Have your developers been trained in secure coding techniques?</v>
      </c>
      <c r="C181" s="52" t="str">
        <f>VLOOKUP($A181,Infrastructure!$A$13:$E$74,3,0)&amp;""</f>
        <v>Yes</v>
      </c>
      <c r="D181" s="41" t="str">
        <f>IF(LEFT(VLOOKUP($A181,Infrastructure!$A$13:$E$74,5,0),21)='Auto Responses'!$A$73,'Auto Responses'!$A$74,VLOOKUP($A181,Infrastructure!$A$13:$E$74,4,0))&amp;""</f>
        <v xml:space="preserve">Cirrus Identity's CTO has formal training is security software development. All developers working for Cirrus Identity have extensive experience developing access management solutions. </v>
      </c>
      <c r="E181" s="351" t="str">
        <f>VLOOKUP($A181,Infrastructure!$A$13:$E$74,5,0)&amp;""</f>
        <v>Summarize your secure coding training.</v>
      </c>
      <c r="F181" s="202"/>
      <c r="G181" s="37" t="str">
        <f>VLOOKUP($A181,Questions!$A$2:$X$333,21,0)&amp;""</f>
        <v>Yes</v>
      </c>
      <c r="H181" s="192"/>
      <c r="I181" s="52" t="str">
        <f>VLOOKUP($A181,Questions!$A$2:$X$333,23,0)&amp;""</f>
        <v>Standard Importance</v>
      </c>
      <c r="J181" s="192"/>
      <c r="K181" s="55" t="b">
        <v>0</v>
      </c>
      <c r="L181" s="1"/>
    </row>
    <row r="182" spans="1:12" s="36" customFormat="1" ht="165" x14ac:dyDescent="0.25">
      <c r="A182" s="25" t="str">
        <f>Infrastructure!$A$31</f>
        <v>APPL-12</v>
      </c>
      <c r="B182" s="26" t="str">
        <f>VLOOKUP($A182,Infrastructure!$A$13:$E$74,2,0)&amp;""</f>
        <v>Was your application developed using secure coding techniques?</v>
      </c>
      <c r="C182" s="52" t="str">
        <f>VLOOKUP($A182,Infrastructure!$A$13:$E$74,3,0)&amp;""</f>
        <v>Yes</v>
      </c>
      <c r="D182" s="41" t="str">
        <f>IF(LEFT(VLOOKUP($A182,Infrastructure!$A$13:$E$74,5,0),21)='Auto Responses'!$A$73,'Auto Responses'!$A$74,VLOOKUP($A182,Infrastructure!$A$13:$E$74,4,0))&amp;""</f>
        <v>Cirrus Identity follows the OWASP (https://owasp.org/www-pdf-archive/OWASP_SCP_Quick_Reference_Guide_v2.pdf) and other relavent guidelines during both the design and development of services.</v>
      </c>
      <c r="E182" s="351" t="str">
        <f>VLOOKUP($A182,Infrastructure!$A$13:$E$74,5,0)&amp;""</f>
        <v>Summarize your secure coding practices.</v>
      </c>
      <c r="F182" s="202"/>
      <c r="G182" s="37" t="str">
        <f>VLOOKUP($A182,Questions!$A$2:$X$333,21,0)&amp;""</f>
        <v>Yes</v>
      </c>
      <c r="H182" s="192"/>
      <c r="I182" s="52" t="str">
        <f>VLOOKUP($A182,Questions!$A$2:$X$333,23,0)&amp;""</f>
        <v>Standard Importance</v>
      </c>
      <c r="J182" s="192"/>
      <c r="K182" s="55" t="b">
        <v>0</v>
      </c>
      <c r="L182" s="1"/>
    </row>
    <row r="183" spans="1:12" s="36" customFormat="1" ht="45" x14ac:dyDescent="0.25">
      <c r="A183" s="25" t="str">
        <f>Infrastructure!$A$32</f>
        <v>APPL-13</v>
      </c>
      <c r="B183" s="26" t="str">
        <f>VLOOKUP($A183,Infrastructure!$A$13:$E$74,2,0)&amp;""</f>
        <v>If mobile, is the application available from a trusted source (e.g., App Store, Google Play Store)?</v>
      </c>
      <c r="C183" s="52" t="str">
        <f>VLOOKUP($A183,Infrastructure!$A$13:$E$74,3,0)&amp;""</f>
        <v>Yes</v>
      </c>
      <c r="D183" s="41" t="str">
        <f>IF(LEFT(VLOOKUP($A183,Infrastructure!$A$13:$E$74,5,0),21)='Auto Responses'!$A$73,'Auto Responses'!$A$74,VLOOKUP($A183,Infrastructure!$A$13:$E$74,4,0))&amp;""</f>
        <v>Cirrus Identity currently doesn't offer a mobile app.</v>
      </c>
      <c r="E183" s="351" t="str">
        <f>VLOOKUP($A183,Infrastructure!$A$13:$E$74,5,0)&amp;""</f>
        <v>State the application title as listed within the trusted source.</v>
      </c>
      <c r="F183" s="202"/>
      <c r="G183" s="37" t="str">
        <f>VLOOKUP($A183,Questions!$A$2:$X$333,21,0)&amp;""</f>
        <v>Yes</v>
      </c>
      <c r="H183" s="192"/>
      <c r="I183" s="52" t="str">
        <f>VLOOKUP($A183,Questions!$A$2:$X$333,23,0)&amp;""</f>
        <v>Minor Importance</v>
      </c>
      <c r="J183" s="192"/>
      <c r="K183" s="55" t="b">
        <v>0</v>
      </c>
      <c r="L183" s="1"/>
    </row>
    <row r="184" spans="1:12" s="36" customFormat="1" ht="120" x14ac:dyDescent="0.25">
      <c r="A184" s="25" t="str">
        <f>Infrastructure!$A$33</f>
        <v>APPL-14</v>
      </c>
      <c r="B184" s="26" t="str">
        <f>VLOOKUP($A184,Infrastructure!$A$13:$E$74,2,0)&amp;""</f>
        <v>Do you have a fully implemented policy or procedure that details how your employees obtain administrator access to institutional instance of the application?</v>
      </c>
      <c r="C184" s="52" t="str">
        <f>VLOOKUP($A184,Infrastructure!$A$13:$E$74,3,0)&amp;""</f>
        <v>Yes</v>
      </c>
      <c r="D184" s="41" t="str">
        <f>IF(LEFT(VLOOKUP($A184,Infrastructure!$A$13:$E$74,5,0),21)='Auto Responses'!$A$73,'Auto Responses'!$A$74,VLOOKUP($A184,Infrastructure!$A$13:$E$74,4,0))&amp;""</f>
        <v>Staff access to institutional instances is controlled by a job-role matrix document as implemented by the Cirrus - Access Control Policy.</v>
      </c>
      <c r="E184" s="351" t="str">
        <f>VLOOKUP($A184,Infrastructure!$A$13:$E$74,5,0)&amp;""</f>
        <v>Describe or provide a reference that details how administrator access is handled (e.g., provisioning, principle of least privilege, deprovisioning, etc.).</v>
      </c>
      <c r="F184" s="202"/>
      <c r="G184" s="37" t="str">
        <f>VLOOKUP($A184,Questions!$A$2:$X$333,21,0)&amp;""</f>
        <v>Yes</v>
      </c>
      <c r="H184" s="192"/>
      <c r="I184" s="52" t="str">
        <f>VLOOKUP($A184,Questions!$A$2:$X$333,23,0)&amp;""</f>
        <v>Minor Importance</v>
      </c>
      <c r="J184" s="192"/>
      <c r="K184" s="55" t="b">
        <v>0</v>
      </c>
      <c r="L184" s="1"/>
    </row>
    <row r="185" spans="1:12" s="1" customFormat="1" ht="17.5" x14ac:dyDescent="0.25">
      <c r="A185" s="70" t="str">
        <f>VLOOKUP(LEFT($A186,4),'Auto Responses'!$N$4:$O$38,2,0)&amp;""</f>
        <v xml:space="preserve"> Datacenter</v>
      </c>
      <c r="B185" s="29"/>
      <c r="C185" s="38"/>
      <c r="D185" s="38"/>
      <c r="E185" s="352"/>
      <c r="F185" s="139" t="s">
        <v>1089</v>
      </c>
      <c r="G185" s="359" t="s">
        <v>925</v>
      </c>
      <c r="H185" s="359" t="s">
        <v>927</v>
      </c>
      <c r="I185" s="359" t="s">
        <v>19</v>
      </c>
      <c r="J185" s="359" t="s">
        <v>912</v>
      </c>
      <c r="K185" s="38"/>
    </row>
    <row r="186" spans="1:12" s="36" customFormat="1" ht="15" x14ac:dyDescent="0.25">
      <c r="A186" s="25" t="str">
        <f>Infrastructure!$A$35</f>
        <v>DCTR-01</v>
      </c>
      <c r="B186" s="26" t="str">
        <f>VLOOKUP($A186,Infrastructure!$A$13:$E$74,2,0)&amp;""</f>
        <v>Select your hosting option.</v>
      </c>
      <c r="C186" s="52" t="str">
        <f>VLOOKUP($A186,Infrastructure!$A$13:$E$74,3,0)&amp;""</f>
        <v>AWS</v>
      </c>
      <c r="D186" s="41" t="str">
        <f>IF(LEFT(VLOOKUP($A186,Infrastructure!$A$13:$E$74,5,0),21)='Auto Responses'!$A$73,'Auto Responses'!$A$74,VLOOKUP($A186,Infrastructure!$A$13:$E$74,4,0))&amp;""</f>
        <v/>
      </c>
      <c r="E186" s="351" t="str">
        <f>VLOOKUP($A186,Infrastructure!$A$13:$E$74,5,0)&amp;""</f>
        <v/>
      </c>
      <c r="F186" s="202"/>
      <c r="G186" s="37" t="str">
        <f>VLOOKUP($A186,Questions!$A$2:$X$333,21,0)&amp;""</f>
        <v>Not scored</v>
      </c>
      <c r="H186" s="192"/>
      <c r="I186" s="52" t="str">
        <f>VLOOKUP($A186,Questions!$A$2:$X$333,23,0)&amp;""</f>
        <v/>
      </c>
      <c r="J186" s="192"/>
      <c r="K186" s="55" t="b">
        <v>0</v>
      </c>
      <c r="L186" s="1"/>
    </row>
    <row r="187" spans="1:12" s="36" customFormat="1" ht="75" x14ac:dyDescent="0.25">
      <c r="A187" s="25" t="str">
        <f>Infrastructure!$A$36</f>
        <v>DCTR-02</v>
      </c>
      <c r="B187" s="26" t="str">
        <f>VLOOKUP($A187,Infrastructure!$A$13:$E$74,2,0)&amp;""</f>
        <v>Is a SOC 2 Type 2 report available for the hosting environment?</v>
      </c>
      <c r="C187" s="52" t="str">
        <f>VLOOKUP($A187,Infrastructure!$A$13:$E$74,3,0)&amp;""</f>
        <v/>
      </c>
      <c r="D187" s="41" t="str">
        <f>IF(LEFT(VLOOKUP($A187,Infrastructure!$A$13:$E$74,5,0),21)='Auto Responses'!$A$73,'Auto Responses'!$A$74,VLOOKUP($A187,Infrastructure!$A$13:$E$74,4,0))&amp;""</f>
        <v>AWS - Not Applicable</v>
      </c>
      <c r="E187" s="351" t="str">
        <f>VLOOKUP($A187,Infrastructure!$A$13:$E$74,5,0)&amp;""</f>
        <v>Based on the response to DCTR-01, this question does not apply to this product or service.</v>
      </c>
      <c r="F187" s="202"/>
      <c r="G187" s="37" t="str">
        <f>VLOOKUP($A187,Questions!$A$2:$X$333,21,0)&amp;""</f>
        <v>Yes</v>
      </c>
      <c r="H187" s="192"/>
      <c r="I187" s="52" t="str">
        <f>VLOOKUP($A187,Questions!$A$2:$X$333,23,0)&amp;""</f>
        <v>Standard Importance</v>
      </c>
      <c r="J187" s="192"/>
      <c r="K187" s="55" t="b">
        <v>0</v>
      </c>
      <c r="L187" s="1"/>
    </row>
    <row r="188" spans="1:12" s="36" customFormat="1" ht="195" x14ac:dyDescent="0.25">
      <c r="A188" s="25" t="str">
        <f>Infrastructure!$A$37</f>
        <v>DCTR-03</v>
      </c>
      <c r="B188" s="26" t="str">
        <f>VLOOKUP($A188,Infrastructure!$A$13:$E$74,2,0)&amp;""</f>
        <v>Are you generally able to accommodate storing each institution's data within its geographic region?</v>
      </c>
      <c r="C188" s="52" t="str">
        <f>VLOOKUP($A188,Infrastructure!$A$13:$E$74,3,0)&amp;""</f>
        <v>No</v>
      </c>
      <c r="D188" s="41" t="str">
        <f>IF(LEFT(VLOOKUP($A188,Infrastructure!$A$13:$E$74,5,0),21)='Auto Responses'!$A$73,'Auto Responses'!$A$74,VLOOKUP($A188,Infrastructure!$A$13:$E$74,4,0))&amp;""</f>
        <v>Currently, Cirrus Identity stores all data in United States region. If there is sufficient customer need, Cirrus Identity is willing to consider hosting region specific implementations for some services to meet geographic storage compliance requirements.</v>
      </c>
      <c r="E188" s="351" t="str">
        <f>VLOOKUP($A188,Infrastructure!$A$13:$E$74,5,0)&amp;""</f>
        <v>Under what circumstances would institutional data leave a designated region or regions?</v>
      </c>
      <c r="F188" s="202"/>
      <c r="G188" s="37" t="str">
        <f>VLOOKUP($A188,Questions!$A$2:$X$333,21,0)&amp;""</f>
        <v>Yes</v>
      </c>
      <c r="H188" s="192"/>
      <c r="I188" s="52" t="str">
        <f>VLOOKUP($A188,Questions!$A$2:$X$333,23,0)&amp;""</f>
        <v>Standard Importance</v>
      </c>
      <c r="J188" s="192"/>
      <c r="K188" s="55" t="b">
        <v>0</v>
      </c>
      <c r="L188" s="1"/>
    </row>
    <row r="189" spans="1:12" s="36" customFormat="1" ht="75" x14ac:dyDescent="0.25">
      <c r="A189" s="25" t="str">
        <f>Infrastructure!$A$38</f>
        <v>DCTR-04</v>
      </c>
      <c r="B189" s="26" t="str">
        <f>VLOOKUP($A189,Infrastructure!$A$13:$E$74,2,0)&amp;""</f>
        <v>Are the data centers staffed 24 hours a day, seven days a week (i.e., 24 x 7 x 365)?</v>
      </c>
      <c r="C189" s="52" t="str">
        <f>VLOOKUP($A189,Infrastructure!$A$13:$E$74,3,0)&amp;""</f>
        <v/>
      </c>
      <c r="D189" s="41" t="str">
        <f>IF(LEFT(VLOOKUP($A189,Infrastructure!$A$13:$E$74,5,0),21)='Auto Responses'!$A$73,'Auto Responses'!$A$74,VLOOKUP($A189,Infrastructure!$A$13:$E$74,4,0))&amp;""</f>
        <v>AWS - Not Applicable</v>
      </c>
      <c r="E189" s="351" t="str">
        <f>VLOOKUP($A189,Infrastructure!$A$13:$E$74,5,0)&amp;""</f>
        <v>Based on the response to DCTR-01, this question does not apply to this product or service.</v>
      </c>
      <c r="F189" s="202"/>
      <c r="G189" s="37" t="str">
        <f>VLOOKUP($A189,Questions!$A$2:$X$333,21,0)&amp;""</f>
        <v>Yes</v>
      </c>
      <c r="H189" s="192"/>
      <c r="I189" s="52" t="str">
        <f>VLOOKUP($A189,Questions!$A$2:$X$333,23,0)&amp;""</f>
        <v>Standard Importance</v>
      </c>
      <c r="J189" s="192"/>
      <c r="K189" s="55" t="b">
        <v>0</v>
      </c>
      <c r="L189" s="1"/>
    </row>
    <row r="190" spans="1:12" s="36" customFormat="1" ht="75" x14ac:dyDescent="0.25">
      <c r="A190" s="25" t="str">
        <f>Infrastructure!$A$39</f>
        <v>DCTR-05</v>
      </c>
      <c r="B190" s="26" t="str">
        <f>VLOOKUP($A190,Infrastructure!$A$13:$E$74,2,0)&amp;""</f>
        <v>Are your servers separated from other companies via a physical barrier, such as a cage or hard walls?</v>
      </c>
      <c r="C190" s="52" t="str">
        <f>VLOOKUP($A190,Infrastructure!$A$13:$E$74,3,0)&amp;""</f>
        <v/>
      </c>
      <c r="D190" s="41" t="str">
        <f>IF(LEFT(VLOOKUP($A190,Infrastructure!$A$13:$E$74,5,0),21)='Auto Responses'!$A$73,'Auto Responses'!$A$74,VLOOKUP($A190,Infrastructure!$A$13:$E$74,4,0))&amp;""</f>
        <v>AWS - Not Applicable</v>
      </c>
      <c r="E190" s="351" t="str">
        <f>VLOOKUP($A190,Infrastructure!$A$13:$E$74,5,0)&amp;""</f>
        <v>Based on the response to DCTR-01, this question does not apply to this product or service.</v>
      </c>
      <c r="F190" s="202"/>
      <c r="G190" s="37" t="str">
        <f>VLOOKUP($A190,Questions!$A$2:$X$333,21,0)&amp;""</f>
        <v>Yes</v>
      </c>
      <c r="H190" s="192"/>
      <c r="I190" s="52" t="str">
        <f>VLOOKUP($A190,Questions!$A$2:$X$333,23,0)&amp;""</f>
        <v>Standard Importance</v>
      </c>
      <c r="J190" s="192"/>
      <c r="K190" s="55" t="b">
        <v>0</v>
      </c>
      <c r="L190" s="1"/>
    </row>
    <row r="191" spans="1:12" s="36" customFormat="1" ht="75" x14ac:dyDescent="0.25">
      <c r="A191" s="25" t="str">
        <f>Infrastructure!$A$40</f>
        <v>DCTR-06</v>
      </c>
      <c r="B191" s="26" t="str">
        <f>VLOOKUP($A191,Infrastructure!$A$13:$E$74,2,0)&amp;""</f>
        <v>Does a physical barrier fully enclose the physical space, preventing unauthorized physical contact with any of your devices?*</v>
      </c>
      <c r="C191" s="52" t="str">
        <f>VLOOKUP($A191,Infrastructure!$A$13:$E$74,3,0)&amp;""</f>
        <v/>
      </c>
      <c r="D191" s="41" t="str">
        <f>IF(LEFT(VLOOKUP($A191,Infrastructure!$A$13:$E$74,5,0),21)='Auto Responses'!$A$73,'Auto Responses'!$A$74,VLOOKUP($A191,Infrastructure!$A$13:$E$74,4,0))&amp;""</f>
        <v>AWS - Not Applicable</v>
      </c>
      <c r="E191" s="351" t="str">
        <f>VLOOKUP($A191,Infrastructure!$A$13:$E$74,5,0)&amp;""</f>
        <v>Based on the response to DCTR-01, this question does not apply to this product or service.</v>
      </c>
      <c r="F191" s="202"/>
      <c r="G191" s="37" t="str">
        <f>VLOOKUP($A191,Questions!$A$2:$X$333,21,0)&amp;""</f>
        <v>Yes</v>
      </c>
      <c r="H191" s="192"/>
      <c r="I191" s="52" t="str">
        <f>VLOOKUP($A191,Questions!$A$2:$X$333,23,0)&amp;""</f>
        <v>Critical Importance</v>
      </c>
      <c r="J191" s="192"/>
      <c r="K191" s="55" t="b">
        <v>0</v>
      </c>
      <c r="L191" s="1"/>
    </row>
    <row r="192" spans="1:12" s="36" customFormat="1" ht="300" x14ac:dyDescent="0.25">
      <c r="A192" s="25" t="str">
        <f>Infrastructure!$A$41</f>
        <v>DCTR-07</v>
      </c>
      <c r="B192" s="26" t="str">
        <f>VLOOKUP($A192,Infrastructure!$A$13:$E$74,2,0)&amp;""</f>
        <v>Are your primary and secondary data centers geographically diverse?</v>
      </c>
      <c r="C192" s="52" t="str">
        <f>VLOOKUP($A192,Infrastructure!$A$13:$E$74,3,0)&amp;""</f>
        <v>Yes</v>
      </c>
      <c r="D192" s="41" t="str">
        <f>IF(LEFT(VLOOKUP($A192,Infrastructure!$A$13:$E$74,5,0),21)='Auto Responses'!$A$73,'Auto Responses'!$A$74,VLOOKUP($A192,Infrastructure!$A$13:$E$74,4,0))&amp;""</f>
        <v>Cirrus Identity operates production service load in multiple availability zones (AZs) in the AWS US-EAST-1 region. "AZs are physically separated by a meaningful distance, many kilometers, from any other AZ, although all are within 100 km (60 miles) of each other." See https://aws.amazon.com/about-aws/global-infrastructure/regions_az/ for details. QA and DR services are operated in the AWS US-WEST-2 region.</v>
      </c>
      <c r="E192" s="351" t="str">
        <f>VLOOKUP($A192,Infrastructure!$A$13:$E$74,5,0)&amp;""</f>
        <v>State your primary and secondary data center locations. For cloud infrastructures, state the primary and secondary zones.</v>
      </c>
      <c r="F192" s="202"/>
      <c r="G192" s="37" t="str">
        <f>VLOOKUP($A192,Questions!$A$2:$X$333,21,0)&amp;""</f>
        <v>Yes</v>
      </c>
      <c r="H192" s="192"/>
      <c r="I192" s="52" t="str">
        <f>VLOOKUP($A192,Questions!$A$2:$X$333,23,0)&amp;""</f>
        <v>Standard Importance</v>
      </c>
      <c r="J192" s="192"/>
      <c r="K192" s="55" t="b">
        <v>0</v>
      </c>
      <c r="L192" s="1"/>
    </row>
    <row r="193" spans="1:12" s="36" customFormat="1" ht="60" x14ac:dyDescent="0.25">
      <c r="A193" s="25" t="str">
        <f>Infrastructure!$A$42</f>
        <v>DCTR-08</v>
      </c>
      <c r="B193" s="26" t="str">
        <f>VLOOKUP($A193,Infrastructure!$A$13:$E$74,2,0)&amp;""</f>
        <v>Is the service hosted in a high-availability environment?</v>
      </c>
      <c r="C193" s="52" t="str">
        <f>VLOOKUP($A193,Infrastructure!$A$13:$E$74,3,0)&amp;""</f>
        <v>Yes</v>
      </c>
      <c r="D193" s="41" t="str">
        <f>IF(LEFT(VLOOKUP($A193,Infrastructure!$A$13:$E$74,5,0),21)='Auto Responses'!$A$73,'Auto Responses'!$A$74,VLOOKUP($A193,Infrastructure!$A$13:$E$74,4,0))&amp;""</f>
        <v>See https://aws.amazon.com/compliance/data-center/controls/</v>
      </c>
      <c r="E193" s="351" t="str">
        <f>VLOOKUP($A193,Infrastructure!$A$13:$E$74,5,0)&amp;""</f>
        <v>Provide a summary to support your response selection.</v>
      </c>
      <c r="F193" s="202"/>
      <c r="G193" s="37" t="str">
        <f>VLOOKUP($A193,Questions!$A$2:$X$333,21,0)&amp;""</f>
        <v>Yes</v>
      </c>
      <c r="H193" s="192"/>
      <c r="I193" s="52" t="str">
        <f>VLOOKUP($A193,Questions!$A$2:$X$333,23,0)&amp;""</f>
        <v>Standard Importance</v>
      </c>
      <c r="J193" s="192"/>
      <c r="K193" s="55" t="b">
        <v>0</v>
      </c>
      <c r="L193" s="1"/>
    </row>
    <row r="194" spans="1:12" s="36" customFormat="1" ht="75" x14ac:dyDescent="0.25">
      <c r="A194" s="25" t="str">
        <f>Infrastructure!$A$43</f>
        <v>DCTR-09</v>
      </c>
      <c r="B194" s="26" t="str">
        <f>VLOOKUP($A194,Infrastructure!$A$13:$E$74,2,0)&amp;""</f>
        <v>Is redundant power available for all data centers where institutional data will reside?</v>
      </c>
      <c r="C194" s="52" t="str">
        <f>VLOOKUP($A194,Infrastructure!$A$13:$E$74,3,0)&amp;""</f>
        <v/>
      </c>
      <c r="D194" s="41" t="str">
        <f>IF(LEFT(VLOOKUP($A194,Infrastructure!$A$13:$E$74,5,0),21)='Auto Responses'!$A$73,'Auto Responses'!$A$74,VLOOKUP($A194,Infrastructure!$A$13:$E$74,4,0))&amp;""</f>
        <v>AWS - Not Applicable</v>
      </c>
      <c r="E194" s="351" t="str">
        <f>VLOOKUP($A194,Infrastructure!$A$13:$E$74,5,0)&amp;""</f>
        <v>Based on the response to DCTR-01, this question does not apply to this product or service.</v>
      </c>
      <c r="F194" s="202"/>
      <c r="G194" s="37" t="str">
        <f>VLOOKUP($A194,Questions!$A$2:$X$333,21,0)&amp;""</f>
        <v>Yes</v>
      </c>
      <c r="H194" s="192"/>
      <c r="I194" s="52" t="str">
        <f>VLOOKUP($A194,Questions!$A$2:$X$333,23,0)&amp;""</f>
        <v>Standard Importance</v>
      </c>
      <c r="J194" s="192"/>
      <c r="K194" s="55" t="b">
        <v>0</v>
      </c>
      <c r="L194" s="1"/>
    </row>
    <row r="195" spans="1:12" s="36" customFormat="1" ht="75" x14ac:dyDescent="0.25">
      <c r="A195" s="25" t="str">
        <f>Infrastructure!$A$44</f>
        <v>DCTR-10</v>
      </c>
      <c r="B195" s="26" t="str">
        <f>VLOOKUP($A195,Infrastructure!$A$13:$E$74,2,0)&amp;""</f>
        <v>Are redundant power strategies tested?*</v>
      </c>
      <c r="C195" s="52" t="str">
        <f>VLOOKUP($A195,Infrastructure!$A$13:$E$74,3,0)&amp;""</f>
        <v/>
      </c>
      <c r="D195" s="41" t="str">
        <f>IF(LEFT(VLOOKUP($A195,Infrastructure!$A$13:$E$74,5,0),21)='Auto Responses'!$A$73,'Auto Responses'!$A$74,VLOOKUP($A195,Infrastructure!$A$13:$E$74,4,0))&amp;""</f>
        <v>AWS - Not Applicable</v>
      </c>
      <c r="E195" s="351" t="str">
        <f>VLOOKUP($A195,Infrastructure!$A$13:$E$74,5,0)&amp;""</f>
        <v>Based on the response to DCTR-01, this question does not apply to this product or service.</v>
      </c>
      <c r="F195" s="202"/>
      <c r="G195" s="37" t="str">
        <f>VLOOKUP($A195,Questions!$A$2:$X$333,21,0)&amp;""</f>
        <v>Yes</v>
      </c>
      <c r="H195" s="192"/>
      <c r="I195" s="52" t="str">
        <f>VLOOKUP($A195,Questions!$A$2:$X$333,23,0)&amp;""</f>
        <v>Critical Importance</v>
      </c>
      <c r="J195" s="192"/>
      <c r="K195" s="55" t="b">
        <v>0</v>
      </c>
      <c r="L195" s="1"/>
    </row>
    <row r="196" spans="1:12" s="36" customFormat="1" ht="75" x14ac:dyDescent="0.25">
      <c r="A196" s="25" t="str">
        <f>Infrastructure!$A$45</f>
        <v>DCTR-11</v>
      </c>
      <c r="B196" s="26" t="str">
        <f>VLOOKUP($A196,Infrastructure!$A$13:$E$74,2,0)&amp;""</f>
        <v>Does the center where the data will reside have cooling and fire-suppression systems that are active and regularly tested?</v>
      </c>
      <c r="C196" s="52" t="str">
        <f>VLOOKUP($A196,Infrastructure!$A$13:$E$74,3,0)&amp;""</f>
        <v/>
      </c>
      <c r="D196" s="41" t="str">
        <f>IF(LEFT(VLOOKUP($A196,Infrastructure!$A$13:$E$74,5,0),21)='Auto Responses'!$A$73,'Auto Responses'!$A$74,VLOOKUP($A196,Infrastructure!$A$13:$E$74,4,0))&amp;""</f>
        <v>AWS - Not Applicable</v>
      </c>
      <c r="E196" s="351" t="str">
        <f>VLOOKUP($A196,Infrastructure!$A$13:$E$74,5,0)&amp;""</f>
        <v>Based on the response to DCTR-01, this question does not apply to this product or service.</v>
      </c>
      <c r="F196" s="202"/>
      <c r="G196" s="37" t="str">
        <f>VLOOKUP($A196,Questions!$A$2:$X$333,21,0)&amp;""</f>
        <v>Yes</v>
      </c>
      <c r="H196" s="192"/>
      <c r="I196" s="52" t="str">
        <f>VLOOKUP($A196,Questions!$A$2:$X$333,23,0)&amp;""</f>
        <v>Standard Importance</v>
      </c>
      <c r="J196" s="192"/>
      <c r="K196" s="55" t="b">
        <v>0</v>
      </c>
      <c r="L196" s="1"/>
    </row>
    <row r="197" spans="1:12" s="36" customFormat="1" ht="75" x14ac:dyDescent="0.25">
      <c r="A197" s="25" t="str">
        <f>Infrastructure!$A$46</f>
        <v>DCTR-12</v>
      </c>
      <c r="B197" s="26" t="str">
        <f>VLOOKUP($A197,Infrastructure!$A$13:$E$74,2,0)&amp;""</f>
        <v>Do you have Internet Service Provider (ISP) redundancy?</v>
      </c>
      <c r="C197" s="52" t="str">
        <f>VLOOKUP($A197,Infrastructure!$A$13:$E$74,3,0)&amp;""</f>
        <v/>
      </c>
      <c r="D197" s="41" t="str">
        <f>IF(LEFT(VLOOKUP($A197,Infrastructure!$A$13:$E$74,5,0),21)='Auto Responses'!$A$73,'Auto Responses'!$A$74,VLOOKUP($A197,Infrastructure!$A$13:$E$74,4,0))&amp;""</f>
        <v>AWS - Not Applicable</v>
      </c>
      <c r="E197" s="351" t="str">
        <f>VLOOKUP($A197,Infrastructure!$A$13:$E$74,5,0)&amp;""</f>
        <v>Based on the response to DCTR-01, this question does not apply to this product or service.</v>
      </c>
      <c r="F197" s="202"/>
      <c r="G197" s="37" t="str">
        <f>VLOOKUP($A197,Questions!$A$2:$X$333,21,0)&amp;""</f>
        <v>Yes</v>
      </c>
      <c r="H197" s="192"/>
      <c r="I197" s="52" t="str">
        <f>VLOOKUP($A197,Questions!$A$2:$X$333,23,0)&amp;""</f>
        <v>Standard Importance</v>
      </c>
      <c r="J197" s="192"/>
      <c r="K197" s="55" t="b">
        <v>0</v>
      </c>
      <c r="L197" s="1"/>
    </row>
    <row r="198" spans="1:12" s="36" customFormat="1" ht="75" x14ac:dyDescent="0.25">
      <c r="A198" s="25" t="str">
        <f>Infrastructure!$A$47</f>
        <v>DCTR-13</v>
      </c>
      <c r="B198" s="26" t="str">
        <f>VLOOKUP($A198,Infrastructure!$A$13:$E$74,2,0)&amp;""</f>
        <v>Does every data center where the institution's data will reside have multiple telephone company or network provider entrances to the facility?</v>
      </c>
      <c r="C198" s="52" t="str">
        <f>VLOOKUP($A198,Infrastructure!$A$13:$E$74,3,0)&amp;""</f>
        <v/>
      </c>
      <c r="D198" s="41" t="str">
        <f>IF(LEFT(VLOOKUP($A198,Infrastructure!$A$13:$E$74,5,0),21)='Auto Responses'!$A$73,'Auto Responses'!$A$74,VLOOKUP($A198,Infrastructure!$A$13:$E$74,4,0))&amp;""</f>
        <v>AWS - Not Applicable</v>
      </c>
      <c r="E198" s="351" t="str">
        <f>VLOOKUP($A198,Infrastructure!$A$13:$E$74,5,0)&amp;""</f>
        <v>Based on the response to DCTR-01, this question does not apply to this product or service.</v>
      </c>
      <c r="F198" s="202"/>
      <c r="G198" s="37" t="str">
        <f>VLOOKUP($A198,Questions!$A$2:$X$333,21,0)&amp;""</f>
        <v>Yes</v>
      </c>
      <c r="H198" s="192"/>
      <c r="I198" s="52" t="str">
        <f>VLOOKUP($A198,Questions!$A$2:$X$333,23,0)&amp;""</f>
        <v>Standard Importance</v>
      </c>
      <c r="J198" s="192"/>
      <c r="K198" s="55" t="b">
        <v>0</v>
      </c>
      <c r="L198" s="1"/>
    </row>
    <row r="199" spans="1:12" s="36" customFormat="1" ht="165" x14ac:dyDescent="0.25">
      <c r="A199" s="25" t="str">
        <f>Infrastructure!$A$48</f>
        <v>DCTR-14</v>
      </c>
      <c r="B199" s="26" t="str">
        <f>VLOOKUP($A199,Infrastructure!$A$13:$E$74,2,0)&amp;""</f>
        <v>Do you require multifactor authentication for all administrative accounts in your environment?</v>
      </c>
      <c r="C199" s="52" t="str">
        <f>VLOOKUP($A199,Infrastructure!$A$13:$E$74,3,0)&amp;""</f>
        <v>Yes</v>
      </c>
      <c r="D199" s="41" t="str">
        <f>IF(LEFT(VLOOKUP($A199,Infrastructure!$A$13:$E$74,5,0),21)='Auto Responses'!$A$73,'Auto Responses'!$A$74,VLOOKUP($A199,Infrastructure!$A$13:$E$74,4,0))&amp;""</f>
        <v>A combination of Google Workplace and AWS SSO are used for Administrator authentication with MFA enforced. Administrators may choose either a soft token maintained in a smartphone app, or a hard token (YubiKey).</v>
      </c>
      <c r="E199" s="351" t="str">
        <f>VLOOKUP($A199,Infrastructure!$A$13:$E$74,5,0)&amp;""</f>
        <v>State which model of MFA you are using.</v>
      </c>
      <c r="F199" s="202"/>
      <c r="G199" s="37" t="str">
        <f>VLOOKUP($A199,Questions!$A$2:$X$333,21,0)&amp;""</f>
        <v>Yes</v>
      </c>
      <c r="H199" s="192"/>
      <c r="I199" s="52" t="str">
        <f>VLOOKUP($A199,Questions!$A$2:$X$333,23,0)&amp;""</f>
        <v>Standard Importance</v>
      </c>
      <c r="J199" s="192"/>
      <c r="K199" s="55" t="b">
        <v>0</v>
      </c>
      <c r="L199" s="1"/>
    </row>
    <row r="200" spans="1:12" s="36" customFormat="1" ht="27" x14ac:dyDescent="0.25">
      <c r="A200" s="25" t="str">
        <f>Infrastructure!$A$49</f>
        <v>DCTR-15</v>
      </c>
      <c r="B200" s="26" t="str">
        <f>VLOOKUP($A200,Infrastructure!$A$13:$E$74,2,0)&amp;""</f>
        <v>Are you using your cloud provider's available hardening tools or pre-hardened images?</v>
      </c>
      <c r="C200" s="52" t="str">
        <f>VLOOKUP($A200,Infrastructure!$A$13:$E$74,3,0)&amp;""</f>
        <v>Yes</v>
      </c>
      <c r="D200" s="41" t="str">
        <f>IF(LEFT(VLOOKUP($A200,Infrastructure!$A$13:$E$74,5,0),21)='Auto Responses'!$A$73,'Auto Responses'!$A$74,VLOOKUP($A200,Infrastructure!$A$13:$E$74,4,0))&amp;""</f>
        <v/>
      </c>
      <c r="E200" s="351" t="str">
        <f>VLOOKUP($A200,Infrastructure!$A$13:$E$74,5,0)&amp;""</f>
        <v/>
      </c>
      <c r="F200" s="202"/>
      <c r="G200" s="37" t="str">
        <f>VLOOKUP($A200,Questions!$A$2:$X$333,21,0)&amp;""</f>
        <v>Yes</v>
      </c>
      <c r="H200" s="192"/>
      <c r="I200" s="52" t="str">
        <f>VLOOKUP($A200,Questions!$A$2:$X$333,23,0)&amp;""</f>
        <v>Standard Importance</v>
      </c>
      <c r="J200" s="192"/>
      <c r="K200" s="55" t="b">
        <v>0</v>
      </c>
      <c r="L200" s="1"/>
    </row>
    <row r="201" spans="1:12" s="36" customFormat="1" ht="15" x14ac:dyDescent="0.25">
      <c r="A201" s="25" t="str">
        <f>Infrastructure!$A$50</f>
        <v>DCTR-16</v>
      </c>
      <c r="B201" s="26" t="str">
        <f>VLOOKUP($A201,Infrastructure!$A$13:$E$74,2,0)&amp;""</f>
        <v>Does your cloud solution provider have access to your encryption keys?</v>
      </c>
      <c r="C201" s="52" t="str">
        <f>VLOOKUP($A201,Infrastructure!$A$13:$E$74,3,0)&amp;""</f>
        <v>Yes</v>
      </c>
      <c r="D201" s="41" t="str">
        <f>IF(LEFT(VLOOKUP($A201,Infrastructure!$A$13:$E$74,5,0),21)='Auto Responses'!$A$73,'Auto Responses'!$A$74,VLOOKUP($A201,Infrastructure!$A$13:$E$74,4,0))&amp;""</f>
        <v/>
      </c>
      <c r="E201" s="351" t="str">
        <f>VLOOKUP($A201,Infrastructure!$A$13:$E$74,5,0)&amp;""</f>
        <v/>
      </c>
      <c r="F201" s="202"/>
      <c r="G201" s="37" t="str">
        <f>VLOOKUP($A201,Questions!$A$2:$X$333,21,0)&amp;""</f>
        <v>No</v>
      </c>
      <c r="H201" s="192"/>
      <c r="I201" s="52" t="str">
        <f>VLOOKUP($A201,Questions!$A$2:$X$333,23,0)&amp;""</f>
        <v>Standard Importance</v>
      </c>
      <c r="J201" s="192"/>
      <c r="K201" s="55" t="b">
        <v>0</v>
      </c>
      <c r="L201" s="1"/>
    </row>
    <row r="202" spans="1:12" s="1" customFormat="1" ht="17.5" x14ac:dyDescent="0.25">
      <c r="A202" s="70" t="str">
        <f>VLOOKUP(LEFT($A203,4),'Auto Responses'!$N$4:$O$38,2,0)&amp;""</f>
        <v xml:space="preserve"> Firewalls, IDS, IPS, and Networking</v>
      </c>
      <c r="B202" s="29"/>
      <c r="C202" s="38"/>
      <c r="D202" s="38"/>
      <c r="E202" s="352"/>
      <c r="F202" s="139" t="s">
        <v>1089</v>
      </c>
      <c r="G202" s="359" t="s">
        <v>925</v>
      </c>
      <c r="H202" s="359" t="s">
        <v>927</v>
      </c>
      <c r="I202" s="359" t="s">
        <v>19</v>
      </c>
      <c r="J202" s="359" t="s">
        <v>912</v>
      </c>
      <c r="K202" s="38"/>
    </row>
    <row r="203" spans="1:12" s="36" customFormat="1" ht="120" x14ac:dyDescent="0.25">
      <c r="A203" s="25" t="str">
        <f>Infrastructure!$A$52</f>
        <v>FIDP-01</v>
      </c>
      <c r="B203" s="26" t="str">
        <f>VLOOKUP($A203,Infrastructure!$A$13:$E$74,2,0)&amp;""</f>
        <v>Are you utilizing a stateful packet inspection (SPI) firewall?*</v>
      </c>
      <c r="C203" s="52" t="str">
        <f>VLOOKUP($A203,Infrastructure!$A$13:$E$74,3,0)&amp;""</f>
        <v>Yes</v>
      </c>
      <c r="D203" s="41" t="str">
        <f>IF(LEFT(VLOOKUP($A203,Infrastructure!$A$13:$E$74,5,0),21)='Auto Responses'!$A$73,'Auto Responses'!$A$74,VLOOKUP($A203,Infrastructure!$A$13:$E$74,4,0))&amp;""</f>
        <v xml:space="preserve">Access to Cirrus Identity internal systems is protected using AWS Virtual Private Cloud (VPC) access controls including the use of AWS Security Groups. </v>
      </c>
      <c r="E203" s="351" t="str">
        <f>VLOOKUP($A203,Infrastructure!$A$13:$E$74,5,0)&amp;""</f>
        <v>Describe the currently implemented SPI firewall.</v>
      </c>
      <c r="F203" s="202"/>
      <c r="G203" s="37" t="str">
        <f>VLOOKUP($A203,Questions!$A$2:$X$333,21,0)&amp;""</f>
        <v>Yes</v>
      </c>
      <c r="H203" s="192"/>
      <c r="I203" s="52" t="str">
        <f>VLOOKUP($A203,Questions!$A$2:$X$333,23,0)&amp;""</f>
        <v>Critical Importance</v>
      </c>
      <c r="J203" s="192"/>
      <c r="K203" s="55" t="b">
        <v>0</v>
      </c>
      <c r="L203" s="1"/>
    </row>
    <row r="204" spans="1:12" s="36" customFormat="1" ht="120" x14ac:dyDescent="0.25">
      <c r="A204" s="25" t="str">
        <f>Infrastructure!$A$53</f>
        <v>FIDP-02</v>
      </c>
      <c r="B204" s="26" t="str">
        <f>VLOOKUP($A204,Infrastructure!$A$13:$E$74,2,0)&amp;""</f>
        <v>Do you have a documented policy for firewall change requests?*</v>
      </c>
      <c r="C204" s="52" t="str">
        <f>VLOOKUP($A204,Infrastructure!$A$13:$E$74,3,0)&amp;""</f>
        <v>Yes</v>
      </c>
      <c r="D204" s="41" t="str">
        <f>IF(LEFT(VLOOKUP($A204,Infrastructure!$A$13:$E$74,5,0),21)='Auto Responses'!$A$73,'Auto Responses'!$A$74,VLOOKUP($A204,Infrastructure!$A$13:$E$74,4,0))&amp;""</f>
        <v>Firewall changes would be handled according to Cirrus Identity Change Management Policy and Procedure. Generally changes for network would be approved by CTO.</v>
      </c>
      <c r="E204" s="351" t="str">
        <f>VLOOKUP($A204,Infrastructure!$A$13:$E$74,5,0)&amp;""</f>
        <v>Describe your documented firewall change request policy.</v>
      </c>
      <c r="F204" s="202"/>
      <c r="G204" s="37" t="str">
        <f>VLOOKUP($A204,Questions!$A$2:$X$333,21,0)&amp;""</f>
        <v>Yes</v>
      </c>
      <c r="H204" s="192"/>
      <c r="I204" s="52" t="str">
        <f>VLOOKUP($A204,Questions!$A$2:$X$333,23,0)&amp;""</f>
        <v>Critical Importance</v>
      </c>
      <c r="J204" s="192"/>
      <c r="K204" s="55" t="b">
        <v>0</v>
      </c>
      <c r="L204" s="1"/>
    </row>
    <row r="205" spans="1:12" s="36" customFormat="1" ht="120" x14ac:dyDescent="0.25">
      <c r="A205" s="25" t="str">
        <f>Infrastructure!$A$54</f>
        <v>FIDP-03</v>
      </c>
      <c r="B205" s="26" t="str">
        <f>VLOOKUP($A205,Infrastructure!$A$13:$E$74,2,0)&amp;""</f>
        <v>Have you implemented an intrusion detection system (network-based)?*</v>
      </c>
      <c r="C205" s="52" t="str">
        <f>VLOOKUP($A205,Infrastructure!$A$13:$E$74,3,0)&amp;""</f>
        <v>Yes</v>
      </c>
      <c r="D205" s="41" t="str">
        <f>IF(LEFT(VLOOKUP($A205,Infrastructure!$A$13:$E$74,5,0),21)='Auto Responses'!$A$73,'Auto Responses'!$A$74,VLOOKUP($A205,Infrastructure!$A$13:$E$74,4,0))&amp;""</f>
        <v xml:space="preserve">A threat detection service (AWS GuardDuty) is used to continuously monitor the Cirrus Identity Virtual Private Cloud (VPC) for malicious or unauthorized behavior.  </v>
      </c>
      <c r="E205" s="351" t="str">
        <f>VLOOKUP($A205,Infrastructure!$A$13:$E$74,5,0)&amp;""</f>
        <v>Describe the currently implemented IDS.</v>
      </c>
      <c r="F205" s="202"/>
      <c r="G205" s="37" t="str">
        <f>VLOOKUP($A205,Questions!$A$2:$X$333,21,0)&amp;""</f>
        <v>Yes</v>
      </c>
      <c r="H205" s="192"/>
      <c r="I205" s="52" t="str">
        <f>VLOOKUP($A205,Questions!$A$2:$X$333,23,0)&amp;""</f>
        <v>Critical Importance</v>
      </c>
      <c r="J205" s="192"/>
      <c r="K205" s="55" t="b">
        <v>0</v>
      </c>
      <c r="L205" s="1"/>
    </row>
    <row r="206" spans="1:12" s="36" customFormat="1" ht="75" x14ac:dyDescent="0.25">
      <c r="A206" s="25" t="str">
        <f>Infrastructure!$A$55</f>
        <v>FIDP-04</v>
      </c>
      <c r="B206" s="26" t="str">
        <f>VLOOKUP($A206,Infrastructure!$A$13:$E$74,2,0)&amp;""</f>
        <v>Do you employ host-based intrusion detection?*</v>
      </c>
      <c r="C206" s="52" t="str">
        <f>VLOOKUP($A206,Infrastructure!$A$13:$E$74,3,0)&amp;""</f>
        <v>Yes</v>
      </c>
      <c r="D206" s="41" t="str">
        <f>IF(LEFT(VLOOKUP($A206,Infrastructure!$A$13:$E$74,5,0),21)='Auto Responses'!$A$73,'Auto Responses'!$A$74,VLOOKUP($A206,Infrastructure!$A$13:$E$74,4,0))&amp;""</f>
        <v xml:space="preserve">Host-based intrusion detection is configured for virtual servers to monitor for anomalous behavior. </v>
      </c>
      <c r="E206" s="351" t="str">
        <f>VLOOKUP($A206,Infrastructure!$A$13:$E$74,5,0)&amp;""</f>
        <v>Describe the currently implemented host-based IDS solution(s).</v>
      </c>
      <c r="F206" s="202"/>
      <c r="G206" s="37" t="str">
        <f>VLOOKUP($A206,Questions!$A$2:$X$333,21,0)&amp;""</f>
        <v>Yes</v>
      </c>
      <c r="H206" s="192"/>
      <c r="I206" s="52" t="str">
        <f>VLOOKUP($A206,Questions!$A$2:$X$333,23,0)&amp;""</f>
        <v>Critical Importance</v>
      </c>
      <c r="J206" s="192"/>
      <c r="K206" s="55" t="b">
        <v>0</v>
      </c>
      <c r="L206" s="1"/>
    </row>
    <row r="207" spans="1:12" s="36" customFormat="1" ht="75" x14ac:dyDescent="0.25">
      <c r="A207" s="25" t="str">
        <f>Infrastructure!$A$56</f>
        <v>FIDP-05</v>
      </c>
      <c r="B207" s="26" t="str">
        <f>VLOOKUP($A207,Infrastructure!$A$13:$E$74,2,0)&amp;""</f>
        <v>Are audit logs available for all changes to the network, firewall, IDS, and IPS systems?*</v>
      </c>
      <c r="C207" s="52" t="str">
        <f>VLOOKUP($A207,Infrastructure!$A$13:$E$74,3,0)&amp;""</f>
        <v>Yes</v>
      </c>
      <c r="D207" s="41" t="str">
        <f>IF(LEFT(VLOOKUP($A207,Infrastructure!$A$13:$E$74,5,0),21)='Auto Responses'!$A$73,'Auto Responses'!$A$74,VLOOKUP($A207,Infrastructure!$A$13:$E$74,4,0))&amp;""</f>
        <v>Cirrus Identity has enabled AWSCloudTrail and AWSConfig with logging in our environment.</v>
      </c>
      <c r="E207" s="351" t="str">
        <f>VLOOKUP($A207,Infrastructure!$A$13:$E$74,5,0)&amp;""</f>
        <v>Describe your current network systems logging strategy.</v>
      </c>
      <c r="F207" s="202"/>
      <c r="G207" s="37" t="str">
        <f>VLOOKUP($A207,Questions!$A$2:$X$333,21,0)&amp;""</f>
        <v>Yes</v>
      </c>
      <c r="H207" s="192"/>
      <c r="I207" s="52" t="str">
        <f>VLOOKUP($A207,Questions!$A$2:$X$333,23,0)&amp;""</f>
        <v>Critical Importance</v>
      </c>
      <c r="J207" s="192"/>
      <c r="K207" s="55" t="b">
        <v>0</v>
      </c>
      <c r="L207" s="1"/>
    </row>
    <row r="208" spans="1:12" s="36" customFormat="1" ht="135" x14ac:dyDescent="0.25">
      <c r="A208" s="25" t="str">
        <f>Infrastructure!$A$57</f>
        <v>FIDP-06</v>
      </c>
      <c r="B208" s="26" t="str">
        <f>VLOOKUP($A208,Infrastructure!$A$13:$E$74,2,0)&amp;""</f>
        <v>Is authority for firewall change approval documented? Please list approver names or titles in Additional Info.</v>
      </c>
      <c r="C208" s="52" t="str">
        <f>VLOOKUP($A208,Infrastructure!$A$13:$E$74,3,0)&amp;""</f>
        <v>Yes</v>
      </c>
      <c r="D208" s="41" t="str">
        <f>IF(LEFT(VLOOKUP($A208,Infrastructure!$A$13:$E$74,5,0),21)='Auto Responses'!$A$73,'Auto Responses'!$A$74,VLOOKUP($A208,Infrastructure!$A$13:$E$74,4,0))&amp;""</f>
        <v>Firewall changes would be handled according to Cirrus Identity Change Management Policy and Procedure. Changes for network would be approved by CTO or pre-authorized alternate.</v>
      </c>
      <c r="E208" s="351" t="str">
        <f>VLOOKUP($A208,Infrastructure!$A$13:$E$74,5,0)&amp;""</f>
        <v>List approver names or titles.</v>
      </c>
      <c r="F208" s="202"/>
      <c r="G208" s="37" t="str">
        <f>VLOOKUP($A208,Questions!$A$2:$X$333,21,0)&amp;""</f>
        <v>Yes</v>
      </c>
      <c r="H208" s="192"/>
      <c r="I208" s="52" t="str">
        <f>VLOOKUP($A208,Questions!$A$2:$X$333,23,0)&amp;""</f>
        <v>Standard Importance</v>
      </c>
      <c r="J208" s="192"/>
      <c r="K208" s="55" t="b">
        <v>0</v>
      </c>
      <c r="L208" s="1"/>
    </row>
    <row r="209" spans="1:12" s="36" customFormat="1" ht="90" x14ac:dyDescent="0.25">
      <c r="A209" s="25" t="str">
        <f>Infrastructure!$A$58</f>
        <v>FIDP-07</v>
      </c>
      <c r="B209" s="26" t="str">
        <f>VLOOKUP($A209,Infrastructure!$A$13:$E$74,2,0)&amp;""</f>
        <v>Have you implemented an intrusion prevention system (network-based)?</v>
      </c>
      <c r="C209" s="52" t="str">
        <f>VLOOKUP($A209,Infrastructure!$A$13:$E$74,3,0)&amp;""</f>
        <v>Yes</v>
      </c>
      <c r="D209" s="41" t="str">
        <f>IF(LEFT(VLOOKUP($A209,Infrastructure!$A$13:$E$74,5,0),21)='Auto Responses'!$A$73,'Auto Responses'!$A$74,VLOOKUP($A209,Infrastructure!$A$13:$E$74,4,0))&amp;""</f>
        <v>A web application firewall (WAF) has been deployed providing a signature based IPS for the network.</v>
      </c>
      <c r="E209" s="351" t="str">
        <f>VLOOKUP($A209,Infrastructure!$A$13:$E$74,5,0)&amp;""</f>
        <v>Describe the currently implemented IPS.</v>
      </c>
      <c r="F209" s="202"/>
      <c r="G209" s="37" t="str">
        <f>VLOOKUP($A209,Questions!$A$2:$X$333,21,0)&amp;""</f>
        <v>Yes</v>
      </c>
      <c r="H209" s="192"/>
      <c r="I209" s="52" t="str">
        <f>VLOOKUP($A209,Questions!$A$2:$X$333,23,0)&amp;""</f>
        <v>Standard Importance</v>
      </c>
      <c r="J209" s="192"/>
      <c r="K209" s="55" t="b">
        <v>0</v>
      </c>
      <c r="L209" s="1"/>
    </row>
    <row r="210" spans="1:12" s="36" customFormat="1" ht="120" x14ac:dyDescent="0.25">
      <c r="A210" s="25" t="str">
        <f>Infrastructure!$A$59</f>
        <v>FIDP-08</v>
      </c>
      <c r="B210" s="26" t="str">
        <f>VLOOKUP($A210,Infrastructure!$A$13:$E$74,2,0)&amp;""</f>
        <v>Do you employ host-based intrusion prevention?</v>
      </c>
      <c r="C210" s="52" t="str">
        <f>VLOOKUP($A210,Infrastructure!$A$13:$E$74,3,0)&amp;""</f>
        <v>Yes</v>
      </c>
      <c r="D210" s="41" t="str">
        <f>IF(LEFT(VLOOKUP($A210,Infrastructure!$A$13:$E$74,5,0),21)='Auto Responses'!$A$73,'Auto Responses'!$A$74,VLOOKUP($A210,Infrastructure!$A$13:$E$74,4,0))&amp;""</f>
        <v xml:space="preserve">Host-based firewalls are configured to limit access to defined networks, network paths, hosts, and clients within the Cirrus Identity AWS Virtual Private Cloud (VPC). </v>
      </c>
      <c r="E210" s="351" t="str">
        <f>VLOOKUP($A210,Infrastructure!$A$13:$E$74,5,0)&amp;""</f>
        <v>Describe the currently implemented host-based IPS solution(s).</v>
      </c>
      <c r="F210" s="202"/>
      <c r="G210" s="37" t="str">
        <f>VLOOKUP($A210,Questions!$A$2:$X$333,21,0)&amp;""</f>
        <v>Yes</v>
      </c>
      <c r="H210" s="192"/>
      <c r="I210" s="52" t="str">
        <f>VLOOKUP($A210,Questions!$A$2:$X$333,23,0)&amp;""</f>
        <v>Standard Importance</v>
      </c>
      <c r="J210" s="192"/>
      <c r="K210" s="55" t="b">
        <v>0</v>
      </c>
      <c r="L210" s="1"/>
    </row>
    <row r="211" spans="1:12" s="36" customFormat="1" ht="30" x14ac:dyDescent="0.25">
      <c r="A211" s="25" t="str">
        <f>Infrastructure!$A$60</f>
        <v>FIDP-09</v>
      </c>
      <c r="B211" s="26" t="str">
        <f>VLOOKUP($A211,Infrastructure!$A$13:$E$74,2,0)&amp;""</f>
        <v>Are you employing any next-generation persistent threat (NGPT) monitoring?</v>
      </c>
      <c r="C211" s="52" t="str">
        <f>VLOOKUP($A211,Infrastructure!$A$13:$E$74,3,0)&amp;""</f>
        <v>Yes</v>
      </c>
      <c r="D211" s="41" t="str">
        <f>IF(LEFT(VLOOKUP($A211,Infrastructure!$A$13:$E$74,5,0),21)='Auto Responses'!$A$73,'Auto Responses'!$A$74,VLOOKUP($A211,Infrastructure!$A$13:$E$74,4,0))&amp;""</f>
        <v>See FIDP-03 for details.</v>
      </c>
      <c r="E211" s="351" t="str">
        <f>VLOOKUP($A211,Infrastructure!$A$13:$E$74,5,0)&amp;""</f>
        <v>Describe your NGPT monitoring strategy.</v>
      </c>
      <c r="F211" s="202"/>
      <c r="G211" s="37" t="str">
        <f>VLOOKUP($A211,Questions!$A$2:$X$333,21,0)&amp;""</f>
        <v>Yes</v>
      </c>
      <c r="H211" s="192"/>
      <c r="I211" s="52" t="str">
        <f>VLOOKUP($A211,Questions!$A$2:$X$333,23,0)&amp;""</f>
        <v>Standard Importance</v>
      </c>
      <c r="J211" s="192"/>
      <c r="K211" s="55" t="b">
        <v>0</v>
      </c>
      <c r="L211" s="1"/>
    </row>
    <row r="212" spans="1:12" s="36" customFormat="1" ht="15" x14ac:dyDescent="0.25">
      <c r="A212" s="25" t="str">
        <f>Infrastructure!$A$61</f>
        <v>FIDP-10</v>
      </c>
      <c r="B212" s="26" t="str">
        <f>VLOOKUP($A212,Infrastructure!$A$13:$E$74,2,0)&amp;""</f>
        <v>Is intrusion monitoring performed internally or by a third-party service?</v>
      </c>
      <c r="C212" s="52" t="str">
        <f>VLOOKUP($A212,Infrastructure!$A$13:$E$74,3,0)&amp;""</f>
        <v>Yes</v>
      </c>
      <c r="D212" s="41" t="str">
        <f>IF(LEFT(VLOOKUP($A212,Infrastructure!$A$13:$E$74,5,0),21)='Auto Responses'!$A$73,'Auto Responses'!$A$74,VLOOKUP($A212,Infrastructure!$A$13:$E$74,4,0))&amp;""</f>
        <v/>
      </c>
      <c r="E212" s="351" t="str">
        <f>VLOOKUP($A212,Infrastructure!$A$13:$E$74,5,0)&amp;""</f>
        <v/>
      </c>
      <c r="F212" s="202"/>
      <c r="G212" s="37" t="str">
        <f>VLOOKUP($A212,Questions!$A$2:$X$333,21,0)&amp;""</f>
        <v>Not scored</v>
      </c>
      <c r="H212" s="192"/>
      <c r="I212" s="52" t="str">
        <f>VLOOKUP($A212,Questions!$A$2:$X$333,23,0)&amp;""</f>
        <v>Standard Importance</v>
      </c>
      <c r="J212" s="192"/>
      <c r="K212" s="55" t="b">
        <v>0</v>
      </c>
      <c r="L212" s="1"/>
    </row>
    <row r="213" spans="1:12" s="36" customFormat="1" ht="90" x14ac:dyDescent="0.25">
      <c r="A213" s="25" t="str">
        <f>Infrastructure!$A$62</f>
        <v>FIDP-11</v>
      </c>
      <c r="B213" s="26" t="str">
        <f>VLOOKUP($A213,Infrastructure!$A$13:$E$74,2,0)&amp;""</f>
        <v>Do you monitor for intrusions on a 24 x 7 x 365 basis?</v>
      </c>
      <c r="C213" s="52" t="str">
        <f>VLOOKUP($A213,Infrastructure!$A$13:$E$74,3,0)&amp;""</f>
        <v>Yes</v>
      </c>
      <c r="D213" s="41" t="str">
        <f>IF(LEFT(VLOOKUP($A213,Infrastructure!$A$13:$E$74,5,0),21)='Auto Responses'!$A$73,'Auto Responses'!$A$74,VLOOKUP($A213,Infrastructure!$A$13:$E$74,4,0))&amp;""</f>
        <v xml:space="preserve">
Any notifications from GuardDuty are sent to an email distribution list monitored by Cirrus Identity on-call staff.</v>
      </c>
      <c r="E213" s="351" t="str">
        <f>VLOOKUP($A213,Infrastructure!$A$13:$E$74,5,0)&amp;""</f>
        <v>Provide a brief summary of this activity.</v>
      </c>
      <c r="F213" s="202"/>
      <c r="G213" s="37" t="str">
        <f>VLOOKUP($A213,Questions!$A$2:$X$333,21,0)&amp;""</f>
        <v>Yes</v>
      </c>
      <c r="H213" s="192"/>
      <c r="I213" s="52" t="str">
        <f>VLOOKUP($A213,Questions!$A$2:$X$333,23,0)&amp;""</f>
        <v>Minor Importance</v>
      </c>
      <c r="J213" s="192"/>
      <c r="K213" s="55" t="b">
        <v>0</v>
      </c>
      <c r="L213" s="1"/>
    </row>
    <row r="214" spans="1:12" s="1" customFormat="1" ht="17.5" x14ac:dyDescent="0.25">
      <c r="A214" s="70" t="str">
        <f>VLOOKUP(LEFT($A215,4),'Auto Responses'!$N$4:$O$38,2,0)&amp;""</f>
        <v xml:space="preserve"> Incident Handling</v>
      </c>
      <c r="B214" s="29"/>
      <c r="C214" s="38"/>
      <c r="D214" s="38"/>
      <c r="E214" s="352"/>
      <c r="F214" s="139" t="s">
        <v>1089</v>
      </c>
      <c r="G214" s="359" t="s">
        <v>925</v>
      </c>
      <c r="H214" s="359" t="s">
        <v>927</v>
      </c>
      <c r="I214" s="359" t="s">
        <v>19</v>
      </c>
      <c r="J214" s="359" t="s">
        <v>912</v>
      </c>
      <c r="K214" s="38"/>
    </row>
    <row r="215" spans="1:12" s="36" customFormat="1" ht="409.5" x14ac:dyDescent="0.25">
      <c r="A215" s="25" t="str">
        <f>Infrastructure!$A$64</f>
        <v>HFIH-01</v>
      </c>
      <c r="B215" s="26" t="str">
        <f>VLOOKUP($A215,Infrastructure!$A$13:$E$74,2,0)&amp;""</f>
        <v>Do you have a formal incident response plan?</v>
      </c>
      <c r="C215" s="52" t="str">
        <f>VLOOKUP($A215,Infrastructure!$A$13:$E$74,3,0)&amp;""</f>
        <v>Yes</v>
      </c>
      <c r="D215" s="41" t="str">
        <f>IF(LEFT(VLOOKUP($A215,Infrastructure!$A$13:$E$74,5,0),21)='Auto Responses'!$A$73,'Auto Responses'!$A$74,VLOOKUP($A215,Infrastructure!$A$13:$E$74,4,0))&amp;""</f>
        <v xml:space="preserve">The Cirrus Identity Incident Response Procedure has the following high level steps:
1) Triage by Customer Success
2) Escalation by Customer Success to an Incident Coordinator
3) Resource Allocation by Incident Coordinator do identity appropriate technical resources
4) Response Coordination by Incident Coordinator to address the issue
5) Postmortem by Incident Coordinator to document the details, duration, and root cause
6) Close Out by Dir of Customer Success to perform final review and inform the Cirrus Identity Leadership Team of the outcome
The Cirrus Identity Incident Response Procedure is available upon request.
</v>
      </c>
      <c r="E215" s="351" t="str">
        <f>VLOOKUP($A215,Infrastructure!$A$13:$E$74,5,0)&amp;""</f>
        <v>Summarize or provide a link to your formal incident response plan.</v>
      </c>
      <c r="F215" s="202"/>
      <c r="G215" s="37" t="str">
        <f>VLOOKUP($A215,Questions!$A$2:$X$333,21,0)&amp;""</f>
        <v>Yes</v>
      </c>
      <c r="H215" s="192"/>
      <c r="I215" s="52" t="str">
        <f>VLOOKUP($A215,Questions!$A$2:$X$333,23,0)&amp;""</f>
        <v>Standard Importance</v>
      </c>
      <c r="J215" s="192"/>
      <c r="K215" s="55" t="b">
        <v>0</v>
      </c>
      <c r="L215" s="1"/>
    </row>
    <row r="216" spans="1:12" s="36" customFormat="1" ht="90" x14ac:dyDescent="0.25">
      <c r="A216" s="25" t="str">
        <f>Infrastructure!$A$65</f>
        <v>HFIH-02</v>
      </c>
      <c r="B216" s="26" t="str">
        <f>VLOOKUP($A216,Infrastructure!$A$13:$E$74,2,0)&amp;""</f>
        <v>Do you either have an internal incident response team or retain an external team?</v>
      </c>
      <c r="C216" s="52" t="str">
        <f>VLOOKUP($A216,Infrastructure!$A$13:$E$74,3,0)&amp;""</f>
        <v>Yes</v>
      </c>
      <c r="D216" s="41" t="str">
        <f>IF(LEFT(VLOOKUP($A216,Infrastructure!$A$13:$E$74,5,0),21)='Auto Responses'!$A$73,'Auto Responses'!$A$74,VLOOKUP($A216,Infrastructure!$A$13:$E$74,4,0))&amp;""</f>
        <v>Cirrus Identity has internal staff designated for incident response per the Cirrus Identity Incident Response Procedure.</v>
      </c>
      <c r="E216" s="351" t="str">
        <f>VLOOKUP($A216,Infrastructure!$A$13:$E$74,5,0)&amp;""</f>
        <v>Summarize your incident response and reporting processes.</v>
      </c>
      <c r="F216" s="202"/>
      <c r="G216" s="37" t="str">
        <f>VLOOKUP($A216,Questions!$A$2:$X$333,21,0)&amp;""</f>
        <v>Yes</v>
      </c>
      <c r="H216" s="192"/>
      <c r="I216" s="52" t="str">
        <f>VLOOKUP($A216,Questions!$A$2:$X$333,23,0)&amp;""</f>
        <v>Minor Importance</v>
      </c>
      <c r="J216" s="192"/>
      <c r="K216" s="55" t="b">
        <v>0</v>
      </c>
      <c r="L216" s="1"/>
    </row>
    <row r="217" spans="1:12" s="36" customFormat="1" ht="60" x14ac:dyDescent="0.25">
      <c r="A217" s="25" t="str">
        <f>Infrastructure!$A$66</f>
        <v>HFIH-03</v>
      </c>
      <c r="B217" s="26" t="str">
        <f>VLOOKUP($A217,Infrastructure!$A$13:$E$74,2,0)&amp;""</f>
        <v>Do you have the capability to respond to incidents on a 24 x 7 x 365 basis?</v>
      </c>
      <c r="C217" s="52" t="str">
        <f>VLOOKUP($A217,Infrastructure!$A$13:$E$74,3,0)&amp;""</f>
        <v>Yes</v>
      </c>
      <c r="D217" s="41" t="str">
        <f>IF(LEFT(VLOOKUP($A217,Infrastructure!$A$13:$E$74,5,0),21)='Auto Responses'!$A$73,'Auto Responses'!$A$74,VLOOKUP($A217,Infrastructure!$A$13:$E$74,4,0))&amp;""</f>
        <v>Members of Cirrus Identity staff are on call to respond to incidents 24X7X365.</v>
      </c>
      <c r="E217" s="351" t="str">
        <f>VLOOKUP($A217,Infrastructure!$A$13:$E$74,5,0)&amp;""</f>
        <v>Summarize your internal approach or reference your third-party contractor.</v>
      </c>
      <c r="F217" s="202"/>
      <c r="G217" s="37" t="str">
        <f>VLOOKUP($A217,Questions!$A$2:$X$333,21,0)&amp;""</f>
        <v>Yes</v>
      </c>
      <c r="H217" s="192"/>
      <c r="I217" s="52" t="str">
        <f>VLOOKUP($A217,Questions!$A$2:$X$333,23,0)&amp;""</f>
        <v>Minor Importance</v>
      </c>
      <c r="J217" s="192"/>
      <c r="K217" s="55" t="b">
        <v>0</v>
      </c>
      <c r="L217" s="1"/>
    </row>
    <row r="218" spans="1:12" s="36" customFormat="1" ht="60" x14ac:dyDescent="0.25">
      <c r="A218" s="25" t="str">
        <f>Infrastructure!$A$67</f>
        <v>HFIH-04</v>
      </c>
      <c r="B218" s="26" t="str">
        <f>VLOOKUP($A218,Infrastructure!$A$13:$E$74,2,0)&amp;""</f>
        <v>Do you carry cyber-risk insurance to protect against unforeseen service outages, data that is lost or stolen, and security incidents?</v>
      </c>
      <c r="C218" s="52" t="str">
        <f>VLOOKUP($A218,Infrastructure!$A$13:$E$74,3,0)&amp;""</f>
        <v>Yes</v>
      </c>
      <c r="D218" s="41" t="str">
        <f>IF(LEFT(VLOOKUP($A218,Infrastructure!$A$13:$E$74,5,0),21)='Auto Responses'!$A$73,'Auto Responses'!$A$74,VLOOKUP($A218,Infrastructure!$A$13:$E$74,4,0))&amp;""</f>
        <v>Each wrongful act: $10,000,000 Aggregate: $10,000,000</v>
      </c>
      <c r="E218" s="351" t="str">
        <f>VLOOKUP($A218,Infrastructure!$A$13:$E$74,5,0)&amp;""</f>
        <v>Describe the coverage in place for this solution.</v>
      </c>
      <c r="F218" s="202"/>
      <c r="G218" s="37" t="str">
        <f>VLOOKUP($A218,Questions!$A$2:$X$333,21,0)&amp;""</f>
        <v>Yes</v>
      </c>
      <c r="H218" s="192"/>
      <c r="I218" s="52" t="str">
        <f>VLOOKUP($A218,Questions!$A$2:$X$333,23,0)&amp;""</f>
        <v>Minor Importance</v>
      </c>
      <c r="J218" s="192"/>
      <c r="K218" s="55" t="b">
        <v>0</v>
      </c>
      <c r="L218" s="1"/>
    </row>
    <row r="219" spans="1:12" s="1" customFormat="1" ht="17.5" x14ac:dyDescent="0.25">
      <c r="A219" s="70" t="str">
        <f>VLOOKUP(LEFT($A220,4),'Auto Responses'!$N$4:$O$38,2,0)&amp;""</f>
        <v xml:space="preserve"> Vulnerability Management</v>
      </c>
      <c r="B219" s="29"/>
      <c r="C219" s="38"/>
      <c r="D219" s="38"/>
      <c r="E219" s="352"/>
      <c r="F219" s="139" t="s">
        <v>1089</v>
      </c>
      <c r="G219" s="359" t="s">
        <v>925</v>
      </c>
      <c r="H219" s="359" t="s">
        <v>927</v>
      </c>
      <c r="I219" s="359" t="s">
        <v>19</v>
      </c>
      <c r="J219" s="359" t="s">
        <v>912</v>
      </c>
      <c r="K219" s="38"/>
    </row>
    <row r="220" spans="1:12" s="36" customFormat="1" ht="360" x14ac:dyDescent="0.25">
      <c r="A220" s="25" t="str">
        <f>Infrastructure!$A$69</f>
        <v>VULN-01</v>
      </c>
      <c r="B220" s="26" t="str">
        <f>VLOOKUP($A220,Infrastructure!$A$13:$E$74,2,0)&amp;""</f>
        <v>Are your systems and applications scanned with an authenticated user account for vulnerabilities (that are remediated) prior to new releases?*</v>
      </c>
      <c r="C220" s="52" t="str">
        <f>VLOOKUP($A220,Infrastructure!$A$13:$E$74,3,0)&amp;""</f>
        <v>No</v>
      </c>
      <c r="D220" s="41" t="str">
        <f>IF(LEFT(VLOOKUP($A220,Infrastructure!$A$13:$E$74,5,0),21)='Auto Responses'!$A$73,'Auto Responses'!$A$74,VLOOKUP($A220,Infrastructure!$A$13:$E$74,4,0))&amp;""</f>
        <v>As part of the Cirrus Identity Change Management process, a number of automated tests validate correct baseline operation when used by an authenticated end-user. Static code/application tests are applied to product code prior to release (see APPL-06 for details), application level content security policies are configured, and the AWS Web Application Firewall augment this automated testing to provide commercially reasonable compensating controls.</v>
      </c>
      <c r="E220" s="351" t="str">
        <f>VLOOKUP($A220,Infrastructure!$A$13:$E$74,5,0)&amp;""</f>
        <v>Describe plans to implement application vulnerability scanning (and remediation) prior to release.</v>
      </c>
      <c r="F220" s="202"/>
      <c r="G220" s="37" t="str">
        <f>VLOOKUP($A220,Questions!$A$2:$X$333,21,0)&amp;""</f>
        <v>Yes</v>
      </c>
      <c r="H220" s="192"/>
      <c r="I220" s="52" t="str">
        <f>VLOOKUP($A220,Questions!$A$2:$X$333,23,0)&amp;""</f>
        <v>Critical Importance</v>
      </c>
      <c r="J220" s="192"/>
      <c r="K220" s="55" t="b">
        <v>0</v>
      </c>
      <c r="L220" s="1"/>
    </row>
    <row r="221" spans="1:12" s="36" customFormat="1" ht="135" x14ac:dyDescent="0.25">
      <c r="A221" s="25" t="str">
        <f>Infrastructure!$A$70</f>
        <v>VULN-02</v>
      </c>
      <c r="B221" s="26" t="str">
        <f>VLOOKUP($A221,Infrastructure!$A$13:$E$74,2,0)&amp;""</f>
        <v>Will you provide results of application and system vulnerability scans to the institution?*</v>
      </c>
      <c r="C221" s="52" t="str">
        <f>VLOOKUP($A221,Infrastructure!$A$13:$E$74,3,0)&amp;""</f>
        <v>Yes</v>
      </c>
      <c r="D221" s="41" t="str">
        <f>IF(LEFT(VLOOKUP($A221,Infrastructure!$A$13:$E$74,5,0),21)='Auto Responses'!$A$73,'Auto Responses'!$A$74,VLOOKUP($A221,Infrastructure!$A$13:$E$74,4,0))&amp;""</f>
        <v xml:space="preserve">Results of scans will be provided to institutions upon request after any critical, high, or medium vulnerabilities are mitigated (see https://nvd.nist.gov/vuln-metrics/cvss for definitions). </v>
      </c>
      <c r="E221" s="351" t="str">
        <f>VLOOKUP($A221,Infrastructure!$A$13:$E$74,5,0)&amp;""</f>
        <v>Provide a reference to security scan documentation.</v>
      </c>
      <c r="F221" s="202"/>
      <c r="G221" s="37" t="str">
        <f>VLOOKUP($A221,Questions!$A$2:$X$333,21,0)&amp;""</f>
        <v>Yes</v>
      </c>
      <c r="H221" s="192"/>
      <c r="I221" s="52" t="str">
        <f>VLOOKUP($A221,Questions!$A$2:$X$333,23,0)&amp;""</f>
        <v>Critical Importance</v>
      </c>
      <c r="J221" s="192"/>
      <c r="K221" s="55" t="b">
        <v>0</v>
      </c>
      <c r="L221" s="1"/>
    </row>
    <row r="222" spans="1:12" s="36" customFormat="1" ht="225" x14ac:dyDescent="0.25">
      <c r="A222" s="25" t="str">
        <f>Infrastructure!$A$71</f>
        <v>VULN-03</v>
      </c>
      <c r="B222" s="26" t="str">
        <f>VLOOKUP($A222,Infrastructure!$A$13:$E$74,2,0)&amp;""</f>
        <v>Will you allow the institution to perform its own vulnerability testing and/or scanning of your systems and/or application, provided that testing is performed at a mutually agreed upon time and date?*</v>
      </c>
      <c r="C222" s="52" t="str">
        <f>VLOOKUP($A222,Infrastructure!$A$13:$E$74,3,0)&amp;""</f>
        <v>No</v>
      </c>
      <c r="D222" s="41" t="str">
        <f>IF(LEFT(VLOOKUP($A222,Infrastructure!$A$13:$E$74,5,0),21)='Auto Responses'!$A$73,'Auto Responses'!$A$74,VLOOKUP($A222,Infrastructure!$A$13:$E$74,4,0))&amp;""</f>
        <v xml:space="preserve">Testing or scanning against Cirrus Identity production services is prohibited by standard contract. Any Customer requirements to perform testing / scanning of Cirrus Identity production services must be negotiated as part of Customer Contract including additional subscription fees. </v>
      </c>
      <c r="E222" s="351" t="str">
        <f>VLOOKUP($A222,Infrastructure!$A$13:$E$74,5,0)&amp;""</f>
        <v>Provide a brief summary for your response.</v>
      </c>
      <c r="F222" s="202"/>
      <c r="G222" s="37" t="str">
        <f>VLOOKUP($A222,Questions!$A$2:$X$333,21,0)&amp;""</f>
        <v>Yes</v>
      </c>
      <c r="H222" s="192"/>
      <c r="I222" s="52" t="str">
        <f>VLOOKUP($A222,Questions!$A$2:$X$333,23,0)&amp;""</f>
        <v>Critical Importance</v>
      </c>
      <c r="J222" s="192"/>
      <c r="K222" s="55" t="b">
        <v>0</v>
      </c>
      <c r="L222" s="1"/>
    </row>
    <row r="223" spans="1:12" s="36" customFormat="1" ht="135" x14ac:dyDescent="0.25">
      <c r="A223" s="25" t="str">
        <f>Infrastructure!$A$72</f>
        <v>VULN-04</v>
      </c>
      <c r="B223" s="26" t="str">
        <f>VLOOKUP($A223,Infrastructure!$A$13:$E$74,2,0)&amp;""</f>
        <v>Have your systems and applications had a third-party security assessment completed in the last year?</v>
      </c>
      <c r="C223" s="52" t="str">
        <f>VLOOKUP($A223,Infrastructure!$A$13:$E$74,3,0)&amp;""</f>
        <v>Yes</v>
      </c>
      <c r="D223" s="41" t="str">
        <f>IF(LEFT(VLOOKUP($A223,Infrastructure!$A$13:$E$74,5,0),21)='Auto Responses'!$A$73,'Auto Responses'!$A$74,VLOOKUP($A223,Infrastructure!$A$13:$E$74,4,0))&amp;""</f>
        <v>Cirrus Identity contracts with a third-party (Rapid7) to perform annual vulnerability scanning (internal and external). An attestation from Rapid7 is available upon request.</v>
      </c>
      <c r="E223" s="351" t="str">
        <f>VLOOKUP($A223,Infrastructure!$A$13:$E$74,5,0)&amp;""</f>
        <v>Provide the results with this document (link or attached), if possible. State the date of the last completed third-party security assessment.</v>
      </c>
      <c r="F223" s="202"/>
      <c r="G223" s="37" t="str">
        <f>VLOOKUP($A223,Questions!$A$2:$X$333,21,0)&amp;""</f>
        <v>Yes</v>
      </c>
      <c r="H223" s="192"/>
      <c r="I223" s="52" t="str">
        <f>VLOOKUP($A223,Questions!$A$2:$X$333,23,0)&amp;""</f>
        <v>Standard Importance</v>
      </c>
      <c r="J223" s="192"/>
      <c r="K223" s="55" t="b">
        <v>0</v>
      </c>
      <c r="L223" s="1"/>
    </row>
    <row r="224" spans="1:12" s="36" customFormat="1" ht="27" x14ac:dyDescent="0.25">
      <c r="A224" s="25" t="str">
        <f>Infrastructure!$A$73</f>
        <v>VULN-05</v>
      </c>
      <c r="B224" s="26" t="str">
        <f>VLOOKUP($A224,Infrastructure!$A$13:$E$74,2,0)&amp;""</f>
        <v>Do you regularly scan for common web application security vulnerabilities (e.g., SQL injection, XSS, XSRF, etc.)?</v>
      </c>
      <c r="C224" s="52" t="str">
        <f>VLOOKUP($A224,Infrastructure!$A$13:$E$74,3,0)&amp;""</f>
        <v>No</v>
      </c>
      <c r="D224" s="41" t="str">
        <f>IF(LEFT(VLOOKUP($A224,Infrastructure!$A$13:$E$74,5,0),21)='Auto Responses'!$A$73,'Auto Responses'!$A$74,VLOOKUP($A224,Infrastructure!$A$13:$E$74,4,0))&amp;""</f>
        <v/>
      </c>
      <c r="E224" s="351" t="str">
        <f>VLOOKUP($A224,Infrastructure!$A$13:$E$74,5,0)&amp;""</f>
        <v/>
      </c>
      <c r="F224" s="202"/>
      <c r="G224" s="37" t="str">
        <f>VLOOKUP($A224,Questions!$A$2:$X$333,21,0)&amp;""</f>
        <v>Yes</v>
      </c>
      <c r="H224" s="192"/>
      <c r="I224" s="52" t="str">
        <f>VLOOKUP($A224,Questions!$A$2:$X$333,23,0)&amp;""</f>
        <v>Standard Importance</v>
      </c>
      <c r="J224" s="192"/>
      <c r="K224" s="55" t="b">
        <v>0</v>
      </c>
      <c r="L224" s="1"/>
    </row>
    <row r="225" spans="1:12" s="36" customFormat="1" ht="90.5" thickBot="1" x14ac:dyDescent="0.3">
      <c r="A225" s="25" t="str">
        <f>Infrastructure!$A$74</f>
        <v>VULN-06</v>
      </c>
      <c r="B225" s="26" t="str">
        <f>VLOOKUP($A225,Infrastructure!$A$13:$E$74,2,0)&amp;""</f>
        <v>Are your systems and applications regularly scanned externally for vulnerabilities?</v>
      </c>
      <c r="C225" s="52" t="str">
        <f>VLOOKUP($A225,Infrastructure!$A$13:$E$74,3,0)&amp;""</f>
        <v>Yes</v>
      </c>
      <c r="D225" s="41" t="str">
        <f>IF(LEFT(VLOOKUP($A225,Infrastructure!$A$13:$E$74,5,0),21)='Auto Responses'!$A$73,'Auto Responses'!$A$74,VLOOKUP($A225,Infrastructure!$A$13:$E$74,4,0))&amp;""</f>
        <v>Cirrus Identity contracts with a third party (Rapid7) to perform annual vulnerability scanning (internal and external).</v>
      </c>
      <c r="E225" s="351" t="str">
        <f>VLOOKUP($A225,Infrastructure!$A$13:$E$74,5,0)&amp;""</f>
        <v>Decribe your external application vulnerability scanning strategy.</v>
      </c>
      <c r="F225" s="202"/>
      <c r="G225" s="37" t="str">
        <f>VLOOKUP($A225,Questions!$A$2:$X$333,21,0)&amp;""</f>
        <v>Yes</v>
      </c>
      <c r="H225" s="192"/>
      <c r="I225" s="52" t="str">
        <f>VLOOKUP($A225,Questions!$A$2:$X$333,23,0)&amp;""</f>
        <v>Minor Importance</v>
      </c>
      <c r="J225" s="192"/>
      <c r="K225" s="56" t="b">
        <v>0</v>
      </c>
      <c r="L225" s="1"/>
    </row>
    <row r="226" spans="1:12" s="1" customFormat="1" ht="17.5" x14ac:dyDescent="0.25">
      <c r="A226" s="70" t="str">
        <f>VLOOKUP(LEFT($A227,4),'Auto Responses'!$N$4:$O$38,2,0)&amp;""</f>
        <v xml:space="preserve"> IT Accessibility</v>
      </c>
      <c r="B226" s="29"/>
      <c r="C226" s="38"/>
      <c r="D226" s="38"/>
      <c r="E226" s="352"/>
      <c r="F226" s="139" t="s">
        <v>1089</v>
      </c>
      <c r="G226" s="359" t="s">
        <v>925</v>
      </c>
      <c r="H226" s="359" t="s">
        <v>927</v>
      </c>
      <c r="I226" s="359" t="s">
        <v>19</v>
      </c>
      <c r="J226" s="359" t="s">
        <v>912</v>
      </c>
      <c r="K226" s="38"/>
    </row>
    <row r="227" spans="1:12" s="36" customFormat="1" ht="15" x14ac:dyDescent="0.25">
      <c r="A227" s="25" t="str">
        <f>'IT Accessibility'!$A$20</f>
        <v>ITAC-01</v>
      </c>
      <c r="B227" s="26" t="str">
        <f>VLOOKUP($A227,'IT Accessibility'!$A$13:$E$37,2,0)&amp;""</f>
        <v>Solution Provider Accessibility Contact Name</v>
      </c>
      <c r="C227" s="324" t="str">
        <f>VLOOKUP($A227,'IT Accessibility'!$A$13:$E$37,3,0)&amp;""</f>
        <v>Mark Rank</v>
      </c>
      <c r="D227" s="325" t="str">
        <f>IF(LEFT(VLOOKUP($A227,'IT Accessibility'!$A$13:$E$37,5,0),21)='Auto Responses'!$A$73,'Auto Responses'!$A$74,VLOOKUP($A227,'IT Accessibility'!$A$13:$E$37,4,0))&amp;""</f>
        <v/>
      </c>
      <c r="E227" s="354" t="str">
        <f>VLOOKUP($A227,'IT Accessibility'!$A$13:$E$37,5,0)&amp;""</f>
        <v/>
      </c>
      <c r="F227" s="202"/>
      <c r="G227" s="37" t="str">
        <f>VLOOKUP($A227,Questions!$A$2:$X$333,21,0)&amp;""</f>
        <v>Not scored</v>
      </c>
      <c r="H227" s="192"/>
      <c r="I227" s="52" t="str">
        <f>VLOOKUP($A227,Questions!$A$2:$X$333,23,0)&amp;""</f>
        <v/>
      </c>
      <c r="J227" s="192"/>
      <c r="K227" s="55" t="b">
        <v>0</v>
      </c>
      <c r="L227" s="1"/>
    </row>
    <row r="228" spans="1:12" s="36" customFormat="1" ht="30" x14ac:dyDescent="0.25">
      <c r="A228" s="25" t="str">
        <f>'IT Accessibility'!$A$21</f>
        <v>ITAC-02</v>
      </c>
      <c r="B228" s="26" t="str">
        <f>VLOOKUP($A228,'IT Accessibility'!$A$13:$E$37,2,0)&amp;""</f>
        <v>Solution Provider Accessibility Contact Title</v>
      </c>
      <c r="C228" s="324" t="str">
        <f>VLOOKUP($A228,'IT Accessibility'!$A$13:$E$37,3,0)&amp;""</f>
        <v>Dir of Compliance and Stratigic Insights</v>
      </c>
      <c r="D228" s="323" t="str">
        <f>IF(LEFT(VLOOKUP($A228,'IT Accessibility'!$A$13:$E$37,5,0),21)='Auto Responses'!$A$73,'Auto Responses'!$A$74,VLOOKUP($A228,'IT Accessibility'!$A$13:$E$37,4,0))&amp;""</f>
        <v/>
      </c>
      <c r="E228" s="354" t="str">
        <f>VLOOKUP($A228,'IT Accessibility'!$A$13:$E$37,5,0)&amp;""</f>
        <v/>
      </c>
      <c r="F228" s="202"/>
      <c r="G228" s="37" t="str">
        <f>VLOOKUP($A228,Questions!$A$2:$X$333,21,0)&amp;""</f>
        <v>Not scored</v>
      </c>
      <c r="H228" s="192"/>
      <c r="I228" s="52" t="str">
        <f>VLOOKUP($A228,Questions!$A$2:$X$333,23,0)&amp;""</f>
        <v/>
      </c>
      <c r="J228" s="192"/>
      <c r="K228" s="55" t="b">
        <v>0</v>
      </c>
      <c r="L228" s="1"/>
    </row>
    <row r="229" spans="1:12" s="36" customFormat="1" ht="30" x14ac:dyDescent="0.25">
      <c r="A229" s="25" t="str">
        <f>'IT Accessibility'!$A$22</f>
        <v>ITAC-03</v>
      </c>
      <c r="B229" s="26" t="str">
        <f>VLOOKUP($A229,'IT Accessibility'!$A$13:$E$37,2,0)&amp;""</f>
        <v>Solution Provider Accessibility Contact Email</v>
      </c>
      <c r="C229" s="324" t="str">
        <f>VLOOKUP($A229,'IT Accessibility'!$A$13:$E$37,3,0)&amp;""</f>
        <v>mark.rank@cirrusidentity.com</v>
      </c>
      <c r="D229" s="323" t="str">
        <f>IF(LEFT(VLOOKUP($A229,'IT Accessibility'!$A$13:$E$37,5,0),21)='Auto Responses'!$A$73,'Auto Responses'!$A$74,VLOOKUP($A229,'IT Accessibility'!$A$13:$E$37,4,0))&amp;""</f>
        <v/>
      </c>
      <c r="E229" s="354" t="str">
        <f>VLOOKUP($A229,'IT Accessibility'!$A$13:$E$37,5,0)&amp;""</f>
        <v/>
      </c>
      <c r="F229" s="202"/>
      <c r="G229" s="37" t="str">
        <f>VLOOKUP($A229,Questions!$A$2:$X$333,21,0)&amp;""</f>
        <v>Not scored</v>
      </c>
      <c r="H229" s="192"/>
      <c r="I229" s="52" t="str">
        <f>VLOOKUP($A229,Questions!$A$2:$X$333,23,0)&amp;""</f>
        <v/>
      </c>
      <c r="J229" s="192"/>
      <c r="K229" s="55" t="b">
        <v>0</v>
      </c>
      <c r="L229" s="1"/>
    </row>
    <row r="230" spans="1:12" s="36" customFormat="1" ht="15" x14ac:dyDescent="0.25">
      <c r="A230" s="25" t="str">
        <f>'IT Accessibility'!$A$23</f>
        <v>ITAC-04</v>
      </c>
      <c r="B230" s="26" t="str">
        <f>VLOOKUP($A230,'IT Accessibility'!$A$13:$E$37,2,0)&amp;""</f>
        <v>Solution Provider Accessibility Contact Phone Number</v>
      </c>
      <c r="C230" s="324" t="str">
        <f>VLOOKUP($A230,'IT Accessibility'!$A$13:$E$37,3,0)&amp;""</f>
        <v>414-331-1476</v>
      </c>
      <c r="D230" s="323" t="str">
        <f>IF(LEFT(VLOOKUP($A230,'IT Accessibility'!$A$13:$E$37,5,0),21)='Auto Responses'!$A$73,'Auto Responses'!$A$74,VLOOKUP($A230,'IT Accessibility'!$A$13:$E$37,4,0))&amp;""</f>
        <v/>
      </c>
      <c r="E230" s="354" t="str">
        <f>VLOOKUP($A230,'IT Accessibility'!$A$13:$E$37,5,0)&amp;""</f>
        <v/>
      </c>
      <c r="F230" s="202"/>
      <c r="G230" s="37" t="str">
        <f>VLOOKUP($A230,Questions!$A$2:$X$333,21,0)&amp;""</f>
        <v>Not scored</v>
      </c>
      <c r="H230" s="192"/>
      <c r="I230" s="52" t="str">
        <f>VLOOKUP($A230,Questions!$A$2:$X$333,23,0)&amp;""</f>
        <v/>
      </c>
      <c r="J230" s="192"/>
      <c r="K230" s="55" t="b">
        <v>0</v>
      </c>
      <c r="L230" s="1"/>
    </row>
    <row r="231" spans="1:12" s="36" customFormat="1" ht="60" x14ac:dyDescent="0.25">
      <c r="A231" s="25" t="str">
        <f>'IT Accessibility'!$A$24</f>
        <v>ITAC-05</v>
      </c>
      <c r="B231" s="26" t="str">
        <f>VLOOKUP($A231,'IT Accessibility'!$A$13:$E$37,2,0)&amp;""</f>
        <v>Web Link to Accessibility Statement or VPAT</v>
      </c>
      <c r="C231" s="324" t="str">
        <f>VLOOKUP($A231,'IT Accessibility'!$A$13:$E$37,3,0)&amp;""</f>
        <v>https://www.cirrusidentity.com/resources/trust-and-compliance-center</v>
      </c>
      <c r="D231" s="323" t="str">
        <f>IF(LEFT(VLOOKUP($A231,'IT Accessibility'!$A$13:$E$37,5,0),21)='Auto Responses'!$A$73,'Auto Responses'!$A$74,VLOOKUP($A231,'IT Accessibility'!$A$13:$E$37,4,0))&amp;""</f>
        <v/>
      </c>
      <c r="E231" s="354" t="str">
        <f>VLOOKUP($A231,'IT Accessibility'!$A$13:$E$37,5,0)&amp;""</f>
        <v>VPAT can also be added as an attachment</v>
      </c>
      <c r="F231" s="202"/>
      <c r="G231" s="37" t="str">
        <f>VLOOKUP($A231,Questions!$A$2:$X$333,21,0)&amp;""</f>
        <v>Not scored</v>
      </c>
      <c r="H231" s="192"/>
      <c r="I231" s="52" t="str">
        <f>VLOOKUP($A231,Questions!$A$2:$X$333,23,0)&amp;""</f>
        <v>Standard Importance</v>
      </c>
      <c r="J231" s="192"/>
      <c r="K231" s="55" t="b">
        <v>0</v>
      </c>
      <c r="L231" s="1"/>
    </row>
    <row r="232" spans="1:12" s="36" customFormat="1" ht="90" x14ac:dyDescent="0.25">
      <c r="A232" s="25" t="str">
        <f>'IT Accessibility'!$A$25</f>
        <v>ITAC-06</v>
      </c>
      <c r="B232" s="26" t="str">
        <f>VLOOKUP($A232,'IT Accessibility'!$A$13:$E$37,2,0)&amp;""</f>
        <v>Has a VPAT or ACR been created or updated for the solution and version under consideration within the past 12 months?*</v>
      </c>
      <c r="C232" s="52" t="str">
        <f>VLOOKUP($A232,'IT Accessibility'!$A$13:$E$37,3,0)&amp;""</f>
        <v>Yes</v>
      </c>
      <c r="D232" s="41" t="str">
        <f>IF(LEFT(VLOOKUP($A232,'IT Accessibility'!$A$13:$E$37,5,0),21)='Auto Responses'!$A$73,'Auto Responses'!$A$74,VLOOKUP($A232,'IT Accessibility'!$A$13:$E$37,4,0))&amp;""</f>
        <v>Latest ACR is available from https://www.cirrusidentity.com/resources/trust-and-compliance-center</v>
      </c>
      <c r="E232" s="354" t="str">
        <f>VLOOKUP($A232,'IT Accessibility'!$A$13:$E$37,5,0)&amp;""</f>
        <v>State the date the VPAT was completed. Include this VPAT in your submission and/or link to its web location.</v>
      </c>
      <c r="F232" s="202"/>
      <c r="G232" s="37" t="str">
        <f>VLOOKUP($A232,Questions!$A$2:$X$333,21,0)&amp;""</f>
        <v>Yes</v>
      </c>
      <c r="H232" s="192"/>
      <c r="I232" s="52" t="str">
        <f>VLOOKUP($A232,Questions!$A$2:$X$333,23,0)&amp;""</f>
        <v>Critical Importance</v>
      </c>
      <c r="J232" s="192"/>
      <c r="K232" s="55" t="b">
        <v>0</v>
      </c>
      <c r="L232" s="1"/>
    </row>
    <row r="233" spans="1:12" s="36" customFormat="1" ht="27" x14ac:dyDescent="0.25">
      <c r="A233" s="25" t="str">
        <f>'IT Accessibility'!$A$26</f>
        <v>ITAC-07</v>
      </c>
      <c r="B233" s="26" t="str">
        <f>VLOOKUP($A233,'IT Accessibility'!$A$13:$E$37,2,0)&amp;""</f>
        <v>Will your company agree to meet your stated accessibility standard or WCAG 2.1 AA as part of your contractual agreement for the solution?*</v>
      </c>
      <c r="C233" s="52" t="str">
        <f>VLOOKUP($A233,'IT Accessibility'!$A$13:$E$37,3,0)&amp;""</f>
        <v>Yes</v>
      </c>
      <c r="D233" s="41" t="str">
        <f>IF(LEFT(VLOOKUP($A233,'IT Accessibility'!$A$13:$E$37,5,0),21)='Auto Responses'!$A$73,'Auto Responses'!$A$74,VLOOKUP($A233,'IT Accessibility'!$A$13:$E$37,4,0))&amp;""</f>
        <v/>
      </c>
      <c r="E233" s="354" t="str">
        <f>VLOOKUP($A233,'IT Accessibility'!$A$13:$E$37,5,0)&amp;""</f>
        <v/>
      </c>
      <c r="F233" s="202"/>
      <c r="G233" s="37" t="str">
        <f>VLOOKUP($A233,Questions!$A$2:$X$333,21,0)&amp;""</f>
        <v>Yes</v>
      </c>
      <c r="H233" s="192"/>
      <c r="I233" s="52" t="str">
        <f>VLOOKUP($A233,Questions!$A$2:$X$333,23,0)&amp;""</f>
        <v>Critical Importance</v>
      </c>
      <c r="J233" s="192"/>
      <c r="K233" s="55" t="b">
        <v>0</v>
      </c>
      <c r="L233" s="1"/>
    </row>
    <row r="234" spans="1:12" s="36" customFormat="1" ht="15" x14ac:dyDescent="0.25">
      <c r="A234" s="25" t="str">
        <f>'IT Accessibility'!$A$27</f>
        <v>ITAC-08</v>
      </c>
      <c r="B234" s="26" t="str">
        <f>VLOOKUP($A234,'IT Accessibility'!$A$13:$E$37,2,0)&amp;""</f>
        <v>Does the solution substantially conform to WCAG 2.1 AA?*</v>
      </c>
      <c r="C234" s="52" t="str">
        <f>VLOOKUP($A234,'IT Accessibility'!$A$13:$E$37,3,0)&amp;""</f>
        <v>Yes</v>
      </c>
      <c r="D234" s="41" t="str">
        <f>IF(LEFT(VLOOKUP($A234,'IT Accessibility'!$A$13:$E$37,5,0),21)='Auto Responses'!$A$73,'Auto Responses'!$A$74,VLOOKUP($A234,'IT Accessibility'!$A$13:$E$37,4,0))&amp;""</f>
        <v/>
      </c>
      <c r="E234" s="354" t="str">
        <f>VLOOKUP($A234,'IT Accessibility'!$A$13:$E$37,5,0)&amp;""</f>
        <v/>
      </c>
      <c r="F234" s="202"/>
      <c r="G234" s="37" t="str">
        <f>VLOOKUP($A234,Questions!$A$2:$X$333,21,0)&amp;""</f>
        <v>Yes</v>
      </c>
      <c r="H234" s="192"/>
      <c r="I234" s="52" t="str">
        <f>VLOOKUP($A234,Questions!$A$2:$X$333,23,0)&amp;""</f>
        <v>Critical Importance</v>
      </c>
      <c r="J234" s="192"/>
      <c r="K234" s="55" t="b">
        <v>0</v>
      </c>
      <c r="L234" s="1"/>
    </row>
    <row r="235" spans="1:12" s="36" customFormat="1" ht="180" x14ac:dyDescent="0.25">
      <c r="A235" s="25" t="str">
        <f>'IT Accessibility'!$A$28</f>
        <v>ITAC-09</v>
      </c>
      <c r="B235" s="26" t="str">
        <f>VLOOKUP($A235,'IT Accessibility'!$A$13:$E$37,2,0)&amp;""</f>
        <v>Do you have a documented and implemented process for reporting and tracking accessibility issues?*</v>
      </c>
      <c r="C235" s="52" t="str">
        <f>VLOOKUP($A235,'IT Accessibility'!$A$13:$E$37,3,0)&amp;""</f>
        <v>Yes</v>
      </c>
      <c r="D235" s="41" t="str">
        <f>IF(LEFT(VLOOKUP($A235,'IT Accessibility'!$A$13:$E$37,5,0),21)='Auto Responses'!$A$73,'Auto Responses'!$A$74,VLOOKUP($A235,'IT Accessibility'!$A$13:$E$37,4,0))&amp;""</f>
        <v>Reporting and tracking of accessibility issues is handled as part of the product support process. Generally issues are reported through the Cirrus Identity Support Center (https://www.cirrusidentity.com/resources/service-desk).</v>
      </c>
      <c r="E235" s="354" t="str">
        <f>VLOOKUP($A235,'IT Accessibility'!$A$13:$E$37,5,0)&amp;""</f>
        <v>Describe the process and any recent examples of fixes as a result of the process.</v>
      </c>
      <c r="F235" s="202"/>
      <c r="G235" s="37" t="str">
        <f>VLOOKUP($A235,Questions!$A$2:$X$333,21,0)&amp;""</f>
        <v>Yes</v>
      </c>
      <c r="H235" s="192"/>
      <c r="I235" s="52" t="str">
        <f>VLOOKUP($A235,Questions!$A$2:$X$333,23,0)&amp;""</f>
        <v>Critical Importance</v>
      </c>
      <c r="J235" s="192"/>
      <c r="K235" s="55" t="b">
        <v>0</v>
      </c>
      <c r="L235" s="1"/>
    </row>
    <row r="236" spans="1:12" s="36" customFormat="1" ht="165" x14ac:dyDescent="0.25">
      <c r="A236" s="25" t="str">
        <f>'IT Accessibility'!$A$29</f>
        <v>ITAC-10</v>
      </c>
      <c r="B236" s="26" t="str">
        <f>VLOOKUP($A236,'IT Accessibility'!$A$13:$E$37,2,0)&amp;""</f>
        <v>Do you have documentation to support the accessibility features of your solution?</v>
      </c>
      <c r="C236" s="52" t="str">
        <f>VLOOKUP($A236,'IT Accessibility'!$A$13:$E$37,3,0)&amp;""</f>
        <v>Yes</v>
      </c>
      <c r="D236" s="41" t="str">
        <f>IF(LEFT(VLOOKUP($A236,'IT Accessibility'!$A$13:$E$37,5,0),21)='Auto Responses'!$A$73,'Auto Responses'!$A$74,VLOOKUP($A236,'IT Accessibility'!$A$13:$E$37,4,0))&amp;""</f>
        <v xml:space="preserve">Cirrus Identity products to do not have specific accessibility features. Product end-user interfaces are designed to meet accessibility by default. There is no documentation beyond what is presented in the ACR. </v>
      </c>
      <c r="E236" s="354" t="str">
        <f>VLOOKUP($A236,'IT Accessibility'!$A$13:$E$37,5,0)&amp;""</f>
        <v>Provide examples with links where possible.</v>
      </c>
      <c r="F236" s="202"/>
      <c r="G236" s="37" t="str">
        <f>VLOOKUP($A236,Questions!$A$2:$X$333,21,0)&amp;""</f>
        <v>Yes</v>
      </c>
      <c r="H236" s="192"/>
      <c r="I236" s="52" t="str">
        <f>VLOOKUP($A236,Questions!$A$2:$X$333,23,0)&amp;""</f>
        <v>Standard Importance</v>
      </c>
      <c r="J236" s="192"/>
      <c r="K236" s="55" t="b">
        <v>0</v>
      </c>
      <c r="L236" s="1"/>
    </row>
    <row r="237" spans="1:12" s="36" customFormat="1" ht="90" x14ac:dyDescent="0.25">
      <c r="A237" s="25" t="str">
        <f>'IT Accessibility'!$A$30</f>
        <v>ITAC-11</v>
      </c>
      <c r="B237" s="26" t="str">
        <f>VLOOKUP($A237,'IT Accessibility'!$A$13:$E$37,2,0)&amp;""</f>
        <v>Has a third-party expert conducted an audit of the most recent version of your solution?</v>
      </c>
      <c r="C237" s="52" t="str">
        <f>VLOOKUP($A237,'IT Accessibility'!$A$13:$E$37,3,0)&amp;""</f>
        <v>No</v>
      </c>
      <c r="D237" s="41" t="str">
        <f>IF(LEFT(VLOOKUP($A237,'IT Accessibility'!$A$13:$E$37,5,0),21)='Auto Responses'!$A$73,'Auto Responses'!$A$74,VLOOKUP($A237,'IT Accessibility'!$A$13:$E$37,4,0))&amp;""</f>
        <v xml:space="preserve">Cirrus Identity has not conducted a third-party accessibility audit of offered products. </v>
      </c>
      <c r="E237" s="354" t="str">
        <f>VLOOKUP($A237,'IT Accessibility'!$A$13:$E$37,5,0)&amp;""</f>
        <v>Please provide plans (when and by whom) of any planned audit, or a rationale if no third-party audit is planned.</v>
      </c>
      <c r="F237" s="202"/>
      <c r="G237" s="37" t="str">
        <f>VLOOKUP($A237,Questions!$A$2:$X$333,21,0)&amp;""</f>
        <v>Yes</v>
      </c>
      <c r="H237" s="192"/>
      <c r="I237" s="52" t="str">
        <f>VLOOKUP($A237,Questions!$A$2:$X$333,23,0)&amp;""</f>
        <v>Standard Importance</v>
      </c>
      <c r="J237" s="192"/>
      <c r="K237" s="55" t="b">
        <v>0</v>
      </c>
      <c r="L237" s="1"/>
    </row>
    <row r="238" spans="1:12" s="36" customFormat="1" ht="210" x14ac:dyDescent="0.25">
      <c r="A238" s="25" t="str">
        <f>'IT Accessibility'!$A$31</f>
        <v>ITAC-12</v>
      </c>
      <c r="B238" s="26" t="str">
        <f>VLOOKUP($A238,'IT Accessibility'!$A$13:$E$37,2,0)&amp;""</f>
        <v>Do you have a documented and implemented process for verifying accessibility conformance?</v>
      </c>
      <c r="C238" s="52" t="str">
        <f>VLOOKUP($A238,'IT Accessibility'!$A$13:$E$37,3,0)&amp;""</f>
        <v>Yes</v>
      </c>
      <c r="D238" s="41" t="str">
        <f>IF(LEFT(VLOOKUP($A238,'IT Accessibility'!$A$13:$E$37,5,0),21)='Auto Responses'!$A$73,'Auto Responses'!$A$74,VLOOKUP($A238,'IT Accessibility'!$A$13:$E$37,4,0))&amp;""</f>
        <v xml:space="preserve">The current informal process is to perform basic checks of accessibility conformance annual during updates to the ACR. Accessibility is also considered during the Change Management process. Process to be documented during 2025 documentation update cycle.  </v>
      </c>
      <c r="E238" s="354" t="str">
        <f>VLOOKUP($A238,'IT Accessibility'!$A$13:$E$37,5,0)&amp;""</f>
        <v>Describe your processes and methodologies for validating accessibility conformance.</v>
      </c>
      <c r="F238" s="202"/>
      <c r="G238" s="37" t="str">
        <f>VLOOKUP($A238,Questions!$A$2:$X$333,21,0)&amp;""</f>
        <v>Yes</v>
      </c>
      <c r="H238" s="192"/>
      <c r="I238" s="52" t="str">
        <f>VLOOKUP($A238,Questions!$A$2:$X$333,23,0)&amp;""</f>
        <v>Standard Importance</v>
      </c>
      <c r="J238" s="192"/>
      <c r="K238" s="55" t="b">
        <v>0</v>
      </c>
      <c r="L238" s="1"/>
    </row>
    <row r="239" spans="1:12" s="36" customFormat="1" ht="60" x14ac:dyDescent="0.25">
      <c r="A239" s="25" t="str">
        <f>'IT Accessibility'!$A$32</f>
        <v>ITAC-13</v>
      </c>
      <c r="B239" s="26" t="str">
        <f>VLOOKUP($A239,'IT Accessibility'!$A$13:$E$37,2,0)&amp;""</f>
        <v>Have you adopted a technical or legal standard of conformance for the solution?</v>
      </c>
      <c r="C239" s="52" t="str">
        <f>VLOOKUP($A239,'IT Accessibility'!$A$13:$E$37,3,0)&amp;""</f>
        <v>Yes</v>
      </c>
      <c r="D239" s="41" t="str">
        <f>IF(LEFT(VLOOKUP($A239,'IT Accessibility'!$A$13:$E$37,5,0),21)='Auto Responses'!$A$73,'Auto Responses'!$A$74,VLOOKUP($A239,'IT Accessibility'!$A$13:$E$37,4,0))&amp;""</f>
        <v>Cirrus Identity bases our ACR on WCAG 2.1 at the AA Level.</v>
      </c>
      <c r="E239" s="354" t="str">
        <f>VLOOKUP($A239,'IT Accessibility'!$A$13:$E$37,5,0)&amp;""</f>
        <v>Indicate which primary standards and all additional standards the solution meets.</v>
      </c>
      <c r="F239" s="202"/>
      <c r="G239" s="37" t="str">
        <f>VLOOKUP($A239,Questions!$A$2:$X$333,21,0)&amp;""</f>
        <v>Yes</v>
      </c>
      <c r="H239" s="192"/>
      <c r="I239" s="52" t="str">
        <f>VLOOKUP($A239,Questions!$A$2:$X$333,23,0)&amp;""</f>
        <v>Standard Importance</v>
      </c>
      <c r="J239" s="192"/>
      <c r="K239" s="55" t="b">
        <v>0</v>
      </c>
      <c r="L239" s="1"/>
    </row>
    <row r="240" spans="1:12" s="36" customFormat="1" ht="345" x14ac:dyDescent="0.25">
      <c r="A240" s="25" t="str">
        <f>'IT Accessibility'!$A$33</f>
        <v>ITAC-14</v>
      </c>
      <c r="B240" s="26" t="str">
        <f>VLOOKUP($A240,'IT Accessibility'!$A$13:$E$37,2,0)&amp;""</f>
        <v>Can you provide a current, detailed accessibility roadmap with delivery timelines?</v>
      </c>
      <c r="C240" s="52" t="str">
        <f>VLOOKUP($A240,'IT Accessibility'!$A$13:$E$37,3,0)&amp;""</f>
        <v>Yes</v>
      </c>
      <c r="D240" s="41" t="str">
        <f>IF(LEFT(VLOOKUP($A240,'IT Accessibility'!$A$13:$E$37,5,0),21)='Auto Responses'!$A$73,'Auto Responses'!$A$74,VLOOKUP($A240,'IT Accessibility'!$A$13:$E$37,4,0))&amp;""</f>
        <v xml:space="preserve">Any deviations from accessibility conformance are addressed with a cure activity. The cure activity is documented in the form of an request in the Cirrus Identity Change Management Standard Operating Procedure (SOP). Assessment during the Change Management SOP will determine the delivery timeline. Customers may inquire about a specific activity by contacting Cirrus Identity Support (https://www.cirrusidentity.com/resources/support-center).  </v>
      </c>
      <c r="E240" s="354" t="str">
        <f>VLOOKUP($A240,'IT Accessibility'!$A$13:$E$37,5,0)&amp;""</f>
        <v>Comment on how far into the future the roadmap extends. Provide evidence (including links) of having delivered upon the accessibility roadmap in the past.</v>
      </c>
      <c r="F240" s="202"/>
      <c r="G240" s="37" t="str">
        <f>VLOOKUP($A240,Questions!$A$2:$X$333,21,0)&amp;""</f>
        <v>Yes</v>
      </c>
      <c r="H240" s="192"/>
      <c r="I240" s="52" t="str">
        <f>VLOOKUP($A240,Questions!$A$2:$X$333,23,0)&amp;""</f>
        <v>Standard Importance</v>
      </c>
      <c r="J240" s="192"/>
      <c r="K240" s="55" t="b">
        <v>0</v>
      </c>
      <c r="L240" s="1"/>
    </row>
    <row r="241" spans="1:12" s="36" customFormat="1" ht="75" x14ac:dyDescent="0.25">
      <c r="A241" s="25" t="str">
        <f>'IT Accessibility'!$A$34</f>
        <v>ITAC-15</v>
      </c>
      <c r="B241" s="26" t="str">
        <f>VLOOKUP($A241,'IT Accessibility'!$A$13:$E$37,2,0)&amp;""</f>
        <v>Do you expect your staff to maintain a current skill set in IT accessibility?</v>
      </c>
      <c r="C241" s="52" t="str">
        <f>VLOOKUP($A241,'IT Accessibility'!$A$13:$E$37,3,0)&amp;""</f>
        <v>No</v>
      </c>
      <c r="D241" s="41" t="str">
        <f>IF(LEFT(VLOOKUP($A241,'IT Accessibility'!$A$13:$E$37,5,0),21)='Auto Responses'!$A$73,'Auto Responses'!$A$74,VLOOKUP($A241,'IT Accessibility'!$A$13:$E$37,4,0))&amp;""</f>
        <v>There are no current plans to require staff to maintain certifications in accessibility knowledge.</v>
      </c>
      <c r="E241" s="354" t="str">
        <f>VLOOKUP($A241,'IT Accessibility'!$A$13:$E$37,5,0)&amp;""</f>
        <v>Describe any plans to ensure appropriate and ongoing staff knowledge about accessibility.</v>
      </c>
      <c r="F241" s="202"/>
      <c r="G241" s="37" t="str">
        <f>VLOOKUP($A241,Questions!$A$2:$X$333,21,0)&amp;""</f>
        <v>Yes</v>
      </c>
      <c r="H241" s="192"/>
      <c r="I241" s="52" t="str">
        <f>VLOOKUP($A241,Questions!$A$2:$X$333,23,0)&amp;""</f>
        <v>Standard Importance</v>
      </c>
      <c r="J241" s="192"/>
      <c r="K241" s="55" t="b">
        <v>0</v>
      </c>
      <c r="L241" s="1"/>
    </row>
    <row r="242" spans="1:12" s="36" customFormat="1" ht="75" x14ac:dyDescent="0.25">
      <c r="A242" s="25" t="str">
        <f>'IT Accessibility'!$A$35</f>
        <v>ITAC-16</v>
      </c>
      <c r="B242" s="26" t="str">
        <f>VLOOKUP($A242,'IT Accessibility'!$A$13:$E$37,2,0)&amp;""</f>
        <v>Do you have documented processes and procedures for implementing accessibility into your development lifecycle?</v>
      </c>
      <c r="C242" s="52" t="str">
        <f>VLOOKUP($A242,'IT Accessibility'!$A$13:$E$37,3,0)&amp;""</f>
        <v>Yes</v>
      </c>
      <c r="D242" s="41" t="str">
        <f>IF(LEFT(VLOOKUP($A242,'IT Accessibility'!$A$13:$E$37,5,0),21)='Auto Responses'!$A$73,'Auto Responses'!$A$74,VLOOKUP($A242,'IT Accessibility'!$A$13:$E$37,4,0))&amp;""</f>
        <v>Accessibility is referenced in the Cirrus Identity Change Management Standard Operating Procedure.</v>
      </c>
      <c r="E242" s="354" t="str">
        <f>VLOOKUP($A242,'IT Accessibility'!$A$13:$E$37,5,0)&amp;""</f>
        <v>Provide further details in Additional Information.</v>
      </c>
      <c r="F242" s="202"/>
      <c r="G242" s="37" t="str">
        <f>VLOOKUP($A242,Questions!$A$2:$X$333,21,0)&amp;""</f>
        <v>Yes</v>
      </c>
      <c r="H242" s="192"/>
      <c r="I242" s="52" t="str">
        <f>VLOOKUP($A242,Questions!$A$2:$X$333,23,0)&amp;""</f>
        <v>Standard Importance</v>
      </c>
      <c r="J242" s="192"/>
      <c r="K242" s="55" t="b">
        <v>0</v>
      </c>
      <c r="L242" s="1"/>
    </row>
    <row r="243" spans="1:12" s="36" customFormat="1" ht="105" x14ac:dyDescent="0.25">
      <c r="A243" s="25" t="str">
        <f>'IT Accessibility'!$A$36</f>
        <v>ITAC-17</v>
      </c>
      <c r="B243" s="26" t="str">
        <f>VLOOKUP($A243,'IT Accessibility'!$A$13:$E$37,2,0)&amp;""</f>
        <v>Can all functions of the application or service be performed using only the keyboard?</v>
      </c>
      <c r="C243" s="52" t="str">
        <f>VLOOKUP($A243,'IT Accessibility'!$A$13:$E$37,3,0)&amp;""</f>
        <v>Yes</v>
      </c>
      <c r="D243" s="41" t="str">
        <f>IF(LEFT(VLOOKUP($A243,'IT Accessibility'!$A$13:$E$37,5,0),21)='Auto Responses'!$A$73,'Auto Responses'!$A$74,VLOOKUP($A243,'IT Accessibility'!$A$13:$E$37,4,0))&amp;""</f>
        <v>See current Cirrus Identity ACR available from https://www.cirrusidentity.com/resources/trust-and-compliance-center</v>
      </c>
      <c r="E243" s="354" t="str">
        <f>VLOOKUP($A243,'IT Accessibility'!$A$13:$E$37,5,0)&amp;""</f>
        <v>State when and on which platform this was verified.</v>
      </c>
      <c r="F243" s="202"/>
      <c r="G243" s="37" t="str">
        <f>VLOOKUP($A243,Questions!$A$2:$X$333,21,0)&amp;""</f>
        <v>Yes</v>
      </c>
      <c r="H243" s="192"/>
      <c r="I243" s="52" t="str">
        <f>VLOOKUP($A243,Questions!$A$2:$X$333,23,0)&amp;""</f>
        <v>Standard Importance</v>
      </c>
      <c r="J243" s="192"/>
      <c r="K243" s="55" t="b">
        <v>0</v>
      </c>
      <c r="L243" s="1"/>
    </row>
    <row r="244" spans="1:12" s="36" customFormat="1" ht="41" thickBot="1" x14ac:dyDescent="0.3">
      <c r="A244" s="25" t="str">
        <f>'IT Accessibility'!$A$37</f>
        <v>ITAC-18</v>
      </c>
      <c r="B244" s="26" t="str">
        <f>VLOOKUP($A244,'IT Accessibility'!$A$13:$E$37,2,0)&amp;""</f>
        <v>Does your product rely on activating a special "accessibility mode," a "lite version," or using an alternate interface (including “overlay” or AI-based alternates)  for accessibility purposes?</v>
      </c>
      <c r="C244" s="52" t="str">
        <f>VLOOKUP($A244,'IT Accessibility'!$A$13:$E$37,3,0)&amp;""</f>
        <v>No</v>
      </c>
      <c r="D244" s="41" t="str">
        <f>IF(LEFT(VLOOKUP($A244,'IT Accessibility'!$A$13:$E$37,5,0),21)='Auto Responses'!$A$73,'Auto Responses'!$A$74,VLOOKUP($A244,'IT Accessibility'!$A$13:$E$37,4,0))&amp;""</f>
        <v/>
      </c>
      <c r="E244" s="354" t="str">
        <f>VLOOKUP($A244,'IT Accessibility'!$A$13:$E$37,5,0)&amp;""</f>
        <v/>
      </c>
      <c r="F244" s="202"/>
      <c r="G244" s="37" t="str">
        <f>VLOOKUP($A244,Questions!$A$2:$X$333,21,0)&amp;""</f>
        <v>No</v>
      </c>
      <c r="H244" s="192"/>
      <c r="I244" s="52" t="str">
        <f>VLOOKUP($A244,Questions!$A$2:$X$333,23,0)&amp;""</f>
        <v>Standard Importance</v>
      </c>
      <c r="J244" s="192"/>
      <c r="K244" s="56" t="b">
        <v>0</v>
      </c>
      <c r="L244" s="1"/>
    </row>
    <row r="245" spans="1:12" s="1" customFormat="1" ht="17.5" x14ac:dyDescent="0.25">
      <c r="A245" s="70" t="str">
        <f>VLOOKUP(LEFT($A246,4),'Auto Responses'!$N$4:$O$38,2,0)&amp;""</f>
        <v xml:space="preserve"> Consulting Services</v>
      </c>
      <c r="B245" s="29"/>
      <c r="C245" s="38"/>
      <c r="D245" s="38"/>
      <c r="E245" s="352"/>
      <c r="F245" s="139" t="s">
        <v>1089</v>
      </c>
      <c r="G245" s="359" t="s">
        <v>925</v>
      </c>
      <c r="H245" s="359" t="s">
        <v>927</v>
      </c>
      <c r="I245" s="359" t="s">
        <v>19</v>
      </c>
      <c r="J245" s="359" t="s">
        <v>912</v>
      </c>
      <c r="K245" s="38"/>
    </row>
    <row r="246" spans="1:12" s="36" customFormat="1" ht="90" x14ac:dyDescent="0.25">
      <c r="A246" s="25" t="str">
        <f>'Case-Specific'!$A$23</f>
        <v>CONS-01</v>
      </c>
      <c r="B246" s="26" t="str">
        <f>VLOOKUP($A246,'Case-Specific'!$A$13:$E$85,2,0)&amp;""</f>
        <v>Will the consultant require access to the institution's network resources?*</v>
      </c>
      <c r="C246" s="52" t="str">
        <f>VLOOKUP($A246,'Case-Specific'!$A$13:$E$85,3,0)&amp;""</f>
        <v/>
      </c>
      <c r="D246" s="41" t="str">
        <f>IF(LEFT(VLOOKUP($A246,'Case-Specific'!$A$13:$E$85,5,0),21)='Auto Responses'!$A$73,'Auto Responses'!$A$74,VLOOKUP($A246,'Case-Specific'!$A$13:$E$85,4,0))&amp;""</f>
        <v/>
      </c>
      <c r="E246" s="351" t="str">
        <f>VLOOKUP($A246,'Case-Specific'!$A$13:$E$85,5,0)&amp;""</f>
        <v>Based on the response to REQU-03 on the "START HERE" tab, this question does not apply to this product or service.</v>
      </c>
      <c r="F246" s="202"/>
      <c r="G246" s="37" t="str">
        <f>VLOOKUP($A246,Questions!$A$2:$X$333,21,0)&amp;""</f>
        <v>No</v>
      </c>
      <c r="H246" s="192"/>
      <c r="I246" s="52" t="str">
        <f>VLOOKUP($A246,Questions!$A$2:$X$333,23,0)&amp;""</f>
        <v>Critical Importance</v>
      </c>
      <c r="J246" s="192"/>
      <c r="K246" s="55" t="b">
        <v>0</v>
      </c>
      <c r="L246" s="1"/>
    </row>
    <row r="247" spans="1:12" s="36" customFormat="1" ht="90" x14ac:dyDescent="0.25">
      <c r="A247" s="25" t="str">
        <f>'Case-Specific'!$A$24</f>
        <v>CONS-02</v>
      </c>
      <c r="B247" s="26" t="str">
        <f>VLOOKUP($A247,'Case-Specific'!$A$13:$E$85,2,0)&amp;""</f>
        <v>Has the consultant received training on (sensitive, HIPAA, PCI, etc.) data handling?*</v>
      </c>
      <c r="C247" s="52" t="str">
        <f>VLOOKUP($A247,'Case-Specific'!$A$13:$E$85,3,0)&amp;""</f>
        <v/>
      </c>
      <c r="D247" s="41" t="str">
        <f>IF(LEFT(VLOOKUP($A247,'Case-Specific'!$A$13:$E$85,5,0),21)='Auto Responses'!$A$73,'Auto Responses'!$A$74,VLOOKUP($A247,'Case-Specific'!$A$13:$E$85,4,0))&amp;""</f>
        <v/>
      </c>
      <c r="E247" s="351" t="str">
        <f>VLOOKUP($A247,'Case-Specific'!$A$13:$E$85,5,0)&amp;""</f>
        <v>Based on the response to REQU-03 on the "START HERE" tab, this question does not apply to this product or service.</v>
      </c>
      <c r="F247" s="202"/>
      <c r="G247" s="37" t="str">
        <f>VLOOKUP($A247,Questions!$A$2:$X$333,21,0)&amp;""</f>
        <v>Yes</v>
      </c>
      <c r="H247" s="192"/>
      <c r="I247" s="52" t="str">
        <f>VLOOKUP($A247,Questions!$A$2:$X$333,23,0)&amp;""</f>
        <v>Critical Importance</v>
      </c>
      <c r="J247" s="192"/>
      <c r="K247" s="55" t="b">
        <v>0</v>
      </c>
      <c r="L247" s="1"/>
    </row>
    <row r="248" spans="1:12" s="36" customFormat="1" ht="90" x14ac:dyDescent="0.25">
      <c r="A248" s="25" t="str">
        <f>'Case-Specific'!$A$25</f>
        <v>CONS-03</v>
      </c>
      <c r="B248" s="26" t="str">
        <f>VLOOKUP($A248,'Case-Specific'!$A$13:$E$85,2,0)&amp;""</f>
        <v>Is the data encrypted (at rest) while in the consultant's possession?*</v>
      </c>
      <c r="C248" s="52" t="str">
        <f>VLOOKUP($A248,'Case-Specific'!$A$13:$E$85,3,0)&amp;""</f>
        <v/>
      </c>
      <c r="D248" s="41" t="str">
        <f>IF(LEFT(VLOOKUP($A248,'Case-Specific'!$A$13:$E$85,5,0),21)='Auto Responses'!$A$73,'Auto Responses'!$A$74,VLOOKUP($A248,'Case-Specific'!$A$13:$E$85,4,0))&amp;""</f>
        <v/>
      </c>
      <c r="E248" s="351" t="str">
        <f>VLOOKUP($A248,'Case-Specific'!$A$13:$E$85,5,0)&amp;""</f>
        <v>Based on the response to REQU-03 on the "START HERE" tab, this question does not apply to this product or service.</v>
      </c>
      <c r="F248" s="202"/>
      <c r="G248" s="37" t="str">
        <f>VLOOKUP($A248,Questions!$A$2:$X$333,21,0)&amp;""</f>
        <v>Yes</v>
      </c>
      <c r="H248" s="192"/>
      <c r="I248" s="52" t="str">
        <f>VLOOKUP($A248,Questions!$A$2:$X$333,23,0)&amp;""</f>
        <v>Critical Importance</v>
      </c>
      <c r="J248" s="192"/>
      <c r="K248" s="55" t="b">
        <v>0</v>
      </c>
      <c r="L248" s="1"/>
    </row>
    <row r="249" spans="1:12" s="36" customFormat="1" ht="90" x14ac:dyDescent="0.25">
      <c r="A249" s="25" t="str">
        <f>'Case-Specific'!A25</f>
        <v>CONS-03</v>
      </c>
      <c r="B249" s="26" t="str">
        <f>VLOOKUP($A249,'Case-Specific'!$A$13:$E$85,2,0)&amp;""</f>
        <v>Is the data encrypted (at rest) while in the consultant's possession?*</v>
      </c>
      <c r="C249" s="52" t="str">
        <f>VLOOKUP($A249,'Case-Specific'!$A$13:$E$85,3,0)&amp;""</f>
        <v/>
      </c>
      <c r="D249" s="41" t="str">
        <f>IF(LEFT(VLOOKUP($A249,'Case-Specific'!$A$13:$E$85,5,0),21)='Auto Responses'!$A$73,'Auto Responses'!$A$74,VLOOKUP($A249,'Case-Specific'!$A$13:$E$85,4,0))&amp;""</f>
        <v/>
      </c>
      <c r="E249" s="351" t="str">
        <f>VLOOKUP($A249,'Case-Specific'!$A$13:$E$85,5,0)&amp;""</f>
        <v>Based on the response to REQU-03 on the "START HERE" tab, this question does not apply to this product or service.</v>
      </c>
      <c r="F249" s="202"/>
      <c r="G249" s="37" t="str">
        <f>VLOOKUP($A249,Questions!$A$2:$X$333,21,0)&amp;""</f>
        <v>Yes</v>
      </c>
      <c r="H249" s="192"/>
      <c r="I249" s="52" t="str">
        <f>VLOOKUP($A249,Questions!$A$2:$X$333,23,0)&amp;""</f>
        <v>Critical Importance</v>
      </c>
      <c r="J249" s="192"/>
      <c r="K249" s="55" t="b">
        <v>0</v>
      </c>
      <c r="L249" s="1"/>
    </row>
    <row r="250" spans="1:12" s="36" customFormat="1" ht="90" x14ac:dyDescent="0.25">
      <c r="A250" s="25" t="str">
        <f>'Case-Specific'!A26</f>
        <v>CONS-04</v>
      </c>
      <c r="B250" s="26" t="str">
        <f>VLOOKUP($A250,'Case-Specific'!$A$13:$E$85,2,0)&amp;""</f>
        <v>Can access be restricted based on source IP address?*</v>
      </c>
      <c r="C250" s="52" t="str">
        <f>VLOOKUP($A250,'Case-Specific'!$A$13:$E$85,3,0)&amp;""</f>
        <v/>
      </c>
      <c r="D250" s="41" t="str">
        <f>IF(LEFT(VLOOKUP($A250,'Case-Specific'!$A$13:$E$85,5,0),21)='Auto Responses'!$A$73,'Auto Responses'!$A$74,VLOOKUP($A250,'Case-Specific'!$A$13:$E$85,4,0))&amp;""</f>
        <v/>
      </c>
      <c r="E250" s="351" t="str">
        <f>VLOOKUP($A250,'Case-Specific'!$A$13:$E$85,5,0)&amp;""</f>
        <v>Based on the response to REQU-03 on the "START HERE" tab, this question does not apply to this product or service.</v>
      </c>
      <c r="F250" s="202"/>
      <c r="G250" s="37" t="str">
        <f>VLOOKUP($A250,Questions!$A$2:$X$333,21,0)&amp;""</f>
        <v>Yes</v>
      </c>
      <c r="H250" s="192"/>
      <c r="I250" s="52" t="str">
        <f>VLOOKUP($A250,Questions!$A$2:$X$333,23,0)&amp;""</f>
        <v>Critical Importance</v>
      </c>
      <c r="J250" s="192"/>
      <c r="K250" s="55" t="b">
        <v>0</v>
      </c>
      <c r="L250" s="1"/>
    </row>
    <row r="251" spans="1:12" s="36" customFormat="1" ht="90" x14ac:dyDescent="0.25">
      <c r="A251" s="25" t="str">
        <f>'Case-Specific'!A27</f>
        <v>CONS-05</v>
      </c>
      <c r="B251" s="26" t="str">
        <f>VLOOKUP($A251,'Case-Specific'!$A$13:$E$85,2,0)&amp;""</f>
        <v>Will the consulting take place on-premises?</v>
      </c>
      <c r="C251" s="52" t="str">
        <f>VLOOKUP($A251,'Case-Specific'!$A$13:$E$85,3,0)&amp;""</f>
        <v/>
      </c>
      <c r="D251" s="41" t="str">
        <f>IF(LEFT(VLOOKUP($A251,'Case-Specific'!$A$13:$E$85,5,0),21)='Auto Responses'!$A$73,'Auto Responses'!$A$74,VLOOKUP($A251,'Case-Specific'!$A$13:$E$85,4,0))&amp;""</f>
        <v/>
      </c>
      <c r="E251" s="351" t="str">
        <f>VLOOKUP($A251,'Case-Specific'!$A$13:$E$85,5,0)&amp;""</f>
        <v>Based on the response to REQU-03 on the "START HERE" tab, this question does not apply to this product or service.</v>
      </c>
      <c r="F251" s="202"/>
      <c r="G251" s="37" t="str">
        <f>VLOOKUP($A251,Questions!$A$2:$X$333,21,0)&amp;""</f>
        <v>No</v>
      </c>
      <c r="H251" s="192"/>
      <c r="I251" s="52" t="str">
        <f>VLOOKUP($A251,Questions!$A$2:$X$333,23,0)&amp;""</f>
        <v>Standard Importance</v>
      </c>
      <c r="J251" s="192"/>
      <c r="K251" s="55" t="b">
        <v>0</v>
      </c>
      <c r="L251" s="1"/>
    </row>
    <row r="252" spans="1:12" s="36" customFormat="1" ht="90" x14ac:dyDescent="0.25">
      <c r="A252" s="25" t="str">
        <f>'Case-Specific'!A28</f>
        <v>CONS-06</v>
      </c>
      <c r="B252" s="26" t="str">
        <f>VLOOKUP($A252,'Case-Specific'!$A$13:$E$85,2,0)&amp;""</f>
        <v>Will the consultant require access to hardware in the institution's data centers?</v>
      </c>
      <c r="C252" s="52" t="str">
        <f>VLOOKUP($A252,'Case-Specific'!$A$13:$E$85,3,0)&amp;""</f>
        <v/>
      </c>
      <c r="D252" s="41" t="str">
        <f>IF(LEFT(VLOOKUP($A252,'Case-Specific'!$A$13:$E$85,5,0),21)='Auto Responses'!$A$73,'Auto Responses'!$A$74,VLOOKUP($A252,'Case-Specific'!$A$13:$E$85,4,0))&amp;""</f>
        <v/>
      </c>
      <c r="E252" s="351" t="str">
        <f>VLOOKUP($A252,'Case-Specific'!$A$13:$E$85,5,0)&amp;""</f>
        <v>Based on the response to REQU-03 on the "START HERE" tab, this question does not apply to this product or service.</v>
      </c>
      <c r="F252" s="202"/>
      <c r="G252" s="37" t="str">
        <f>VLOOKUP($A252,Questions!$A$2:$X$333,21,0)&amp;""</f>
        <v>No</v>
      </c>
      <c r="H252" s="192"/>
      <c r="I252" s="52" t="str">
        <f>VLOOKUP($A252,Questions!$A$2:$X$333,23,0)&amp;""</f>
        <v>Standard Importance</v>
      </c>
      <c r="J252" s="192"/>
      <c r="K252" s="55" t="b">
        <v>0</v>
      </c>
      <c r="L252" s="1"/>
    </row>
    <row r="253" spans="1:12" s="36" customFormat="1" ht="90" x14ac:dyDescent="0.25">
      <c r="A253" s="25" t="str">
        <f>'Case-Specific'!A29</f>
        <v>CONS-07</v>
      </c>
      <c r="B253" s="26" t="str">
        <f>VLOOKUP($A253,'Case-Specific'!$A$13:$E$85,2,0)&amp;""</f>
        <v>Will the consultant require an account within the institution's domain (@*.edu)?</v>
      </c>
      <c r="C253" s="52" t="str">
        <f>VLOOKUP($A253,'Case-Specific'!$A$13:$E$85,3,0)&amp;""</f>
        <v/>
      </c>
      <c r="D253" s="41" t="str">
        <f>IF(LEFT(VLOOKUP($A253,'Case-Specific'!$A$13:$E$85,5,0),21)='Auto Responses'!$A$73,'Auto Responses'!$A$74,VLOOKUP($A253,'Case-Specific'!$A$13:$E$85,4,0))&amp;""</f>
        <v/>
      </c>
      <c r="E253" s="351" t="str">
        <f>VLOOKUP($A253,'Case-Specific'!$A$13:$E$85,5,0)&amp;""</f>
        <v>Based on the response to REQU-03 on the "START HERE" tab, this question does not apply to this product or service.</v>
      </c>
      <c r="F253" s="202"/>
      <c r="G253" s="37" t="str">
        <f>VLOOKUP($A253,Questions!$A$2:$X$333,21,0)&amp;""</f>
        <v>No</v>
      </c>
      <c r="H253" s="192"/>
      <c r="I253" s="52" t="str">
        <f>VLOOKUP($A253,Questions!$A$2:$X$333,23,0)&amp;""</f>
        <v>Standard Importance</v>
      </c>
      <c r="J253" s="192"/>
      <c r="K253" s="55" t="b">
        <v>0</v>
      </c>
      <c r="L253" s="1"/>
    </row>
    <row r="254" spans="1:12" s="36" customFormat="1" ht="90" x14ac:dyDescent="0.25">
      <c r="A254" s="25" t="str">
        <f>'Case-Specific'!A30</f>
        <v>CONS-08</v>
      </c>
      <c r="B254" s="26" t="str">
        <f>VLOOKUP($A254,'Case-Specific'!$A$13:$E$85,2,0)&amp;""</f>
        <v>Will any data be transferred to the consultant's possession?</v>
      </c>
      <c r="C254" s="52" t="str">
        <f>VLOOKUP($A254,'Case-Specific'!$A$13:$E$85,3,0)&amp;""</f>
        <v/>
      </c>
      <c r="D254" s="41" t="str">
        <f>IF(LEFT(VLOOKUP($A254,'Case-Specific'!$A$13:$E$85,5,0),21)='Auto Responses'!$A$73,'Auto Responses'!$A$74,VLOOKUP($A254,'Case-Specific'!$A$13:$E$85,4,0))&amp;""</f>
        <v/>
      </c>
      <c r="E254" s="351" t="str">
        <f>VLOOKUP($A254,'Case-Specific'!$A$13:$E$85,5,0)&amp;""</f>
        <v>Based on the response to REQU-03 on the "START HERE" tab, this question does not apply to this product or service.</v>
      </c>
      <c r="F254" s="202"/>
      <c r="G254" s="37" t="str">
        <f>VLOOKUP($A254,Questions!$A$2:$X$333,21,0)&amp;""</f>
        <v>No</v>
      </c>
      <c r="H254" s="192"/>
      <c r="I254" s="52" t="str">
        <f>VLOOKUP($A254,Questions!$A$2:$X$333,23,0)&amp;""</f>
        <v>Standard Importance</v>
      </c>
      <c r="J254" s="192"/>
      <c r="K254" s="55" t="b">
        <v>0</v>
      </c>
      <c r="L254" s="1"/>
    </row>
    <row r="255" spans="1:12" s="36" customFormat="1" ht="90" x14ac:dyDescent="0.25">
      <c r="A255" s="25" t="str">
        <f>'Case-Specific'!A31</f>
        <v>CONS-09</v>
      </c>
      <c r="B255" s="26" t="str">
        <f>VLOOKUP($A255,'Case-Specific'!$A$13:$E$85,2,0)&amp;""</f>
        <v>Will the consultant need remote access to the institution's network or systems?</v>
      </c>
      <c r="C255" s="52" t="str">
        <f>VLOOKUP($A255,'Case-Specific'!$A$13:$E$85,3,0)&amp;""</f>
        <v/>
      </c>
      <c r="D255" s="41" t="str">
        <f>IF(LEFT(VLOOKUP($A255,'Case-Specific'!$A$13:$E$85,5,0),21)='Auto Responses'!$A$73,'Auto Responses'!$A$74,VLOOKUP($A255,'Case-Specific'!$A$13:$E$85,4,0))&amp;""</f>
        <v/>
      </c>
      <c r="E255" s="351" t="str">
        <f>VLOOKUP($A255,'Case-Specific'!$A$13:$E$85,5,0)&amp;""</f>
        <v>Based on the response to REQU-03 on the "START HERE" tab, this question does not apply to this product or service.</v>
      </c>
      <c r="F255" s="202"/>
      <c r="G255" s="37" t="str">
        <f>VLOOKUP($A255,Questions!$A$2:$X$333,21,0)&amp;""</f>
        <v>No</v>
      </c>
      <c r="H255" s="192"/>
      <c r="I255" s="52" t="str">
        <f>VLOOKUP($A255,Questions!$A$2:$X$333,23,0)&amp;""</f>
        <v>Standard Importance</v>
      </c>
      <c r="J255" s="192"/>
      <c r="K255" s="55" t="b">
        <v>0</v>
      </c>
      <c r="L255" s="1"/>
    </row>
    <row r="256" spans="1:12" s="1" customFormat="1" ht="17.5" x14ac:dyDescent="0.25">
      <c r="A256" s="70" t="str">
        <f>VLOOKUP(LEFT($A257,4),'Auto Responses'!$N$4:$O$38,2,0)&amp;""</f>
        <v xml:space="preserve">HIPAA Compliance </v>
      </c>
      <c r="B256" s="29"/>
      <c r="C256" s="38"/>
      <c r="D256" s="38"/>
      <c r="E256" s="352"/>
      <c r="F256" s="139" t="s">
        <v>1089</v>
      </c>
      <c r="G256" s="359" t="s">
        <v>925</v>
      </c>
      <c r="H256" s="359" t="s">
        <v>927</v>
      </c>
      <c r="I256" s="359" t="s">
        <v>19</v>
      </c>
      <c r="J256" s="359" t="s">
        <v>912</v>
      </c>
      <c r="K256" s="38"/>
    </row>
    <row r="257" spans="1:12" s="36" customFormat="1" ht="90" x14ac:dyDescent="0.25">
      <c r="A257" s="25" t="str">
        <f>'Case-Specific'!A33</f>
        <v>HIPA-01</v>
      </c>
      <c r="B257" s="26" t="str">
        <f>VLOOKUP($A257,'Case-Specific'!$A$13:$E$85,2,0)&amp;""</f>
        <v>Do your workforce members receive regular training related to the Health Insurance Portability and Accountability Act (HIPAA) Privacy and Security Rules and the HITECH Act?*</v>
      </c>
      <c r="C257" s="52" t="str">
        <f>VLOOKUP($A257,'Case-Specific'!$A$13:$E$85,3,0)&amp;""</f>
        <v/>
      </c>
      <c r="D257" s="41" t="str">
        <f>IF(LEFT(VLOOKUP($A257,'Case-Specific'!$A$13:$E$85,5,0),21)='Auto Responses'!$A$73,'Auto Responses'!$A$74,VLOOKUP($A257,'Case-Specific'!$A$13:$E$85,4,0))&amp;""</f>
        <v/>
      </c>
      <c r="E257" s="351" t="str">
        <f>VLOOKUP($A257,'Case-Specific'!$A$13:$E$85,5,0)&amp;""</f>
        <v>Based on the response to REQU-05 on the "START HERE" tab, this question does not apply to this product or service.</v>
      </c>
      <c r="F257" s="202"/>
      <c r="G257" s="37" t="str">
        <f>VLOOKUP($A257,Questions!$A$2:$X$333,21,0)&amp;""</f>
        <v>Yes</v>
      </c>
      <c r="H257" s="192"/>
      <c r="I257" s="52" t="str">
        <f>VLOOKUP($A257,Questions!$A$2:$X$333,23,0)&amp;""</f>
        <v>Critical Importance</v>
      </c>
      <c r="J257" s="192"/>
      <c r="K257" s="55" t="b">
        <v>0</v>
      </c>
      <c r="L257" s="1"/>
    </row>
    <row r="258" spans="1:12" s="36" customFormat="1" ht="90" x14ac:dyDescent="0.25">
      <c r="A258" s="25" t="str">
        <f>'Case-Specific'!A34</f>
        <v>HIPA-02</v>
      </c>
      <c r="B258" s="26" t="str">
        <f>VLOOKUP($A258,'Case-Specific'!$A$13:$E$85,2,0)&amp;""</f>
        <v>Have you identified areas of risk?*</v>
      </c>
      <c r="C258" s="52" t="str">
        <f>VLOOKUP($A258,'Case-Specific'!$A$13:$E$85,3,0)&amp;""</f>
        <v/>
      </c>
      <c r="D258" s="41" t="str">
        <f>IF(LEFT(VLOOKUP($A258,'Case-Specific'!$A$13:$E$85,5,0),21)='Auto Responses'!$A$73,'Auto Responses'!$A$74,VLOOKUP($A258,'Case-Specific'!$A$13:$E$85,4,0))&amp;""</f>
        <v/>
      </c>
      <c r="E258" s="351" t="str">
        <f>VLOOKUP($A258,'Case-Specific'!$A$13:$E$85,5,0)&amp;""</f>
        <v>Based on the response to REQU-05 on the "START HERE" tab, this question does not apply to this product or service.</v>
      </c>
      <c r="F258" s="202"/>
      <c r="G258" s="37" t="str">
        <f>VLOOKUP($A258,Questions!$A$2:$X$333,21,0)&amp;""</f>
        <v>Yes</v>
      </c>
      <c r="H258" s="192"/>
      <c r="I258" s="52" t="str">
        <f>VLOOKUP($A258,Questions!$A$2:$X$333,23,0)&amp;""</f>
        <v>Critical Importance</v>
      </c>
      <c r="J258" s="192"/>
      <c r="K258" s="55" t="b">
        <v>0</v>
      </c>
      <c r="L258" s="1"/>
    </row>
    <row r="259" spans="1:12" s="36" customFormat="1" ht="90" x14ac:dyDescent="0.25">
      <c r="A259" s="25" t="str">
        <f>'Case-Specific'!A35</f>
        <v>HIPA-03</v>
      </c>
      <c r="B259" s="26" t="str">
        <f>VLOOKUP($A259,'Case-Specific'!$A$13:$E$85,2,0)&amp;""</f>
        <v>Have the relevant policies/plans been tested?*</v>
      </c>
      <c r="C259" s="52" t="str">
        <f>VLOOKUP($A259,'Case-Specific'!$A$13:$E$85,3,0)&amp;""</f>
        <v/>
      </c>
      <c r="D259" s="41" t="str">
        <f>IF(LEFT(VLOOKUP($A259,'Case-Specific'!$A$13:$E$85,5,0),21)='Auto Responses'!$A$73,'Auto Responses'!$A$74,VLOOKUP($A259,'Case-Specific'!$A$13:$E$85,4,0))&amp;""</f>
        <v/>
      </c>
      <c r="E259" s="351" t="str">
        <f>VLOOKUP($A259,'Case-Specific'!$A$13:$E$85,5,0)&amp;""</f>
        <v>Based on the response to REQU-05 on the "START HERE" tab, this question does not apply to this product or service.</v>
      </c>
      <c r="F259" s="202"/>
      <c r="G259" s="37" t="str">
        <f>VLOOKUP($A259,Questions!$A$2:$X$333,21,0)&amp;""</f>
        <v>Yes</v>
      </c>
      <c r="H259" s="192"/>
      <c r="I259" s="52" t="str">
        <f>VLOOKUP($A259,Questions!$A$2:$X$333,23,0)&amp;""</f>
        <v>Critical Importance</v>
      </c>
      <c r="J259" s="192"/>
      <c r="K259" s="55" t="b">
        <v>0</v>
      </c>
      <c r="L259" s="1"/>
    </row>
    <row r="260" spans="1:12" s="36" customFormat="1" ht="90" x14ac:dyDescent="0.25">
      <c r="A260" s="25" t="str">
        <f>'Case-Specific'!A36</f>
        <v>HIPA-04</v>
      </c>
      <c r="B260" s="26" t="str">
        <f>VLOOKUP($A260,'Case-Specific'!$A$13:$E$85,2,0)&amp;""</f>
        <v>Have you entered into a Business Associate Agreements with all subcontractors who may have access to protected health information (PHI)?*</v>
      </c>
      <c r="C260" s="52" t="str">
        <f>VLOOKUP($A260,'Case-Specific'!$A$13:$E$85,3,0)&amp;""</f>
        <v/>
      </c>
      <c r="D260" s="41" t="str">
        <f>IF(LEFT(VLOOKUP($A260,'Case-Specific'!$A$13:$E$85,5,0),21)='Auto Responses'!$A$73,'Auto Responses'!$A$74,VLOOKUP($A260,'Case-Specific'!$A$13:$E$85,4,0))&amp;""</f>
        <v/>
      </c>
      <c r="E260" s="351" t="str">
        <f>VLOOKUP($A260,'Case-Specific'!$A$13:$E$85,5,0)&amp;""</f>
        <v>Based on the response to REQU-05 on the "START HERE" tab, this question does not apply to this product or service.</v>
      </c>
      <c r="F260" s="202"/>
      <c r="G260" s="37" t="str">
        <f>VLOOKUP($A260,Questions!$A$2:$X$333,21,0)&amp;""</f>
        <v>Yes</v>
      </c>
      <c r="H260" s="192"/>
      <c r="I260" s="52" t="str">
        <f>VLOOKUP($A260,Questions!$A$2:$X$333,23,0)&amp;""</f>
        <v>Critical Importance</v>
      </c>
      <c r="J260" s="192"/>
      <c r="K260" s="55" t="b">
        <v>0</v>
      </c>
      <c r="L260" s="1"/>
    </row>
    <row r="261" spans="1:12" s="36" customFormat="1" ht="90" x14ac:dyDescent="0.25">
      <c r="A261" s="25" t="str">
        <f>'Case-Specific'!A37</f>
        <v>HIPA-05</v>
      </c>
      <c r="B261" s="26" t="str">
        <f>VLOOKUP($A261,'Case-Specific'!$A$13:$E$85,2,0)&amp;""</f>
        <v>Do you monitor or receive information regarding changes in HIPAA regulations?</v>
      </c>
      <c r="C261" s="52" t="str">
        <f>VLOOKUP($A261,'Case-Specific'!$A$13:$E$85,3,0)&amp;""</f>
        <v/>
      </c>
      <c r="D261" s="41" t="str">
        <f>IF(LEFT(VLOOKUP($A261,'Case-Specific'!$A$13:$E$85,5,0),21)='Auto Responses'!$A$73,'Auto Responses'!$A$74,VLOOKUP($A261,'Case-Specific'!$A$13:$E$85,4,0))&amp;""</f>
        <v/>
      </c>
      <c r="E261" s="351" t="str">
        <f>VLOOKUP($A261,'Case-Specific'!$A$13:$E$85,5,0)&amp;""</f>
        <v>Based on the response to REQU-05 on the "START HERE" tab, this question does not apply to this product or service.</v>
      </c>
      <c r="F261" s="202"/>
      <c r="G261" s="37" t="str">
        <f>VLOOKUP($A261,Questions!$A$2:$X$333,21,0)&amp;""</f>
        <v>Yes</v>
      </c>
      <c r="H261" s="192"/>
      <c r="I261" s="52" t="str">
        <f>VLOOKUP($A261,Questions!$A$2:$X$333,23,0)&amp;""</f>
        <v>Standard Importance</v>
      </c>
      <c r="J261" s="192"/>
      <c r="K261" s="55" t="b">
        <v>0</v>
      </c>
      <c r="L261" s="1"/>
    </row>
    <row r="262" spans="1:12" s="36" customFormat="1" ht="90" x14ac:dyDescent="0.25">
      <c r="A262" s="25" t="str">
        <f>'Case-Specific'!A38</f>
        <v>HIPA-06</v>
      </c>
      <c r="B262" s="26" t="str">
        <f>VLOOKUP($A262,'Case-Specific'!$A$13:$E$85,2,0)&amp;""</f>
        <v>Has your organization designated HIPAA Privacy and Security officers as required by the rules?</v>
      </c>
      <c r="C262" s="52" t="str">
        <f>VLOOKUP($A262,'Case-Specific'!$A$13:$E$85,3,0)&amp;""</f>
        <v/>
      </c>
      <c r="D262" s="41" t="str">
        <f>IF(LEFT(VLOOKUP($A262,'Case-Specific'!$A$13:$E$85,5,0),21)='Auto Responses'!$A$73,'Auto Responses'!$A$74,VLOOKUP($A262,'Case-Specific'!$A$13:$E$85,4,0))&amp;""</f>
        <v/>
      </c>
      <c r="E262" s="351" t="str">
        <f>VLOOKUP($A262,'Case-Specific'!$A$13:$E$85,5,0)&amp;""</f>
        <v>Based on the response to REQU-05 on the "START HERE" tab, this question does not apply to this product or service.</v>
      </c>
      <c r="F262" s="202"/>
      <c r="G262" s="37" t="str">
        <f>VLOOKUP($A262,Questions!$A$2:$X$333,21,0)&amp;""</f>
        <v>Yes</v>
      </c>
      <c r="H262" s="192"/>
      <c r="I262" s="52" t="str">
        <f>VLOOKUP($A262,Questions!$A$2:$X$333,23,0)&amp;""</f>
        <v>Standard Importance</v>
      </c>
      <c r="J262" s="192"/>
      <c r="K262" s="55" t="b">
        <v>0</v>
      </c>
      <c r="L262" s="1"/>
    </row>
    <row r="263" spans="1:12" s="36" customFormat="1" ht="90" x14ac:dyDescent="0.25">
      <c r="A263" s="25" t="str">
        <f>'Case-Specific'!A39</f>
        <v>HIPA-07</v>
      </c>
      <c r="B263" s="26" t="str">
        <f>VLOOKUP($A263,'Case-Specific'!$A$13:$E$85,2,0)&amp;""</f>
        <v>Do you comply with the requirements of the Health Information Technology for Economic and Clinical Health Act (HITECH)?</v>
      </c>
      <c r="C263" s="52" t="str">
        <f>VLOOKUP($A263,'Case-Specific'!$A$13:$E$85,3,0)&amp;""</f>
        <v/>
      </c>
      <c r="D263" s="41" t="str">
        <f>IF(LEFT(VLOOKUP($A263,'Case-Specific'!$A$13:$E$85,5,0),21)='Auto Responses'!$A$73,'Auto Responses'!$A$74,VLOOKUP($A263,'Case-Specific'!$A$13:$E$85,4,0))&amp;""</f>
        <v/>
      </c>
      <c r="E263" s="351" t="str">
        <f>VLOOKUP($A263,'Case-Specific'!$A$13:$E$85,5,0)&amp;""</f>
        <v>Based on the response to REQU-05 on the "START HERE" tab, this question does not apply to this product or service.</v>
      </c>
      <c r="F263" s="202"/>
      <c r="G263" s="37" t="str">
        <f>VLOOKUP($A263,Questions!$A$2:$X$333,21,0)&amp;""</f>
        <v>Yes</v>
      </c>
      <c r="H263" s="192"/>
      <c r="I263" s="52" t="str">
        <f>VLOOKUP($A263,Questions!$A$2:$X$333,23,0)&amp;""</f>
        <v>Standard Importance</v>
      </c>
      <c r="J263" s="192"/>
      <c r="K263" s="55" t="b">
        <v>0</v>
      </c>
      <c r="L263" s="1"/>
    </row>
    <row r="264" spans="1:12" s="36" customFormat="1" ht="90" x14ac:dyDescent="0.25">
      <c r="A264" s="25" t="str">
        <f>'Case-Specific'!A40</f>
        <v>HIPA-08</v>
      </c>
      <c r="B264" s="26" t="str">
        <f>VLOOKUP($A264,'Case-Specific'!$A$13:$E$85,2,0)&amp;""</f>
        <v>Have you conducted a risk analysis as required under the HIPAA Security Rule?</v>
      </c>
      <c r="C264" s="52" t="str">
        <f>VLOOKUP($A264,'Case-Specific'!$A$13:$E$85,3,0)&amp;""</f>
        <v/>
      </c>
      <c r="D264" s="41" t="str">
        <f>IF(LEFT(VLOOKUP($A264,'Case-Specific'!$A$13:$E$85,5,0),21)='Auto Responses'!$A$73,'Auto Responses'!$A$74,VLOOKUP($A264,'Case-Specific'!$A$13:$E$85,4,0))&amp;""</f>
        <v/>
      </c>
      <c r="E264" s="351" t="str">
        <f>VLOOKUP($A264,'Case-Specific'!$A$13:$E$85,5,0)&amp;""</f>
        <v>Based on the response to REQU-05 on the "START HERE" tab, this question does not apply to this product or service.</v>
      </c>
      <c r="F264" s="202"/>
      <c r="G264" s="37" t="str">
        <f>VLOOKUP($A264,Questions!$A$2:$X$333,21,0)&amp;""</f>
        <v>Yes</v>
      </c>
      <c r="H264" s="192"/>
      <c r="I264" s="52" t="str">
        <f>VLOOKUP($A264,Questions!$A$2:$X$333,23,0)&amp;""</f>
        <v>Standard Importance</v>
      </c>
      <c r="J264" s="192"/>
      <c r="K264" s="55" t="b">
        <v>0</v>
      </c>
      <c r="L264" s="1"/>
    </row>
    <row r="265" spans="1:12" s="36" customFormat="1" ht="90" x14ac:dyDescent="0.25">
      <c r="A265" s="25" t="str">
        <f>'Case-Specific'!A41</f>
        <v>HIPA-09</v>
      </c>
      <c r="B265" s="26" t="str">
        <f>VLOOKUP($A265,'Case-Specific'!$A$13:$E$85,2,0)&amp;""</f>
        <v>Have you taken actions to mitigate the identified risks?</v>
      </c>
      <c r="C265" s="52" t="str">
        <f>VLOOKUP($A265,'Case-Specific'!$A$13:$E$85,3,0)&amp;""</f>
        <v/>
      </c>
      <c r="D265" s="41" t="str">
        <f>IF(LEFT(VLOOKUP($A265,'Case-Specific'!$A$13:$E$85,5,0),21)='Auto Responses'!$A$73,'Auto Responses'!$A$74,VLOOKUP($A265,'Case-Specific'!$A$13:$E$85,4,0))&amp;""</f>
        <v/>
      </c>
      <c r="E265" s="351" t="str">
        <f>VLOOKUP($A265,'Case-Specific'!$A$13:$E$85,5,0)&amp;""</f>
        <v>Based on the response to REQU-05 on the "START HERE" tab, this question does not apply to this product or service.</v>
      </c>
      <c r="F265" s="202"/>
      <c r="G265" s="37" t="str">
        <f>VLOOKUP($A265,Questions!$A$2:$X$333,21,0)&amp;""</f>
        <v>Yes</v>
      </c>
      <c r="H265" s="192"/>
      <c r="I265" s="52" t="str">
        <f>VLOOKUP($A265,Questions!$A$2:$X$333,23,0)&amp;""</f>
        <v>Standard Importance</v>
      </c>
      <c r="J265" s="192"/>
      <c r="K265" s="55" t="b">
        <v>0</v>
      </c>
      <c r="L265" s="1"/>
    </row>
    <row r="266" spans="1:12" s="36" customFormat="1" ht="90" x14ac:dyDescent="0.25">
      <c r="A266" s="25" t="str">
        <f>'Case-Specific'!A42</f>
        <v>HIPA-10</v>
      </c>
      <c r="B266" s="26" t="str">
        <f>VLOOKUP($A266,'Case-Specific'!$A$13:$E$85,2,0)&amp;""</f>
        <v>Does your application require user and system administrator password changes at a frequency no greater than 90 days?</v>
      </c>
      <c r="C266" s="52" t="str">
        <f>VLOOKUP($A266,'Case-Specific'!$A$13:$E$85,3,0)&amp;""</f>
        <v/>
      </c>
      <c r="D266" s="41" t="str">
        <f>IF(LEFT(VLOOKUP($A266,'Case-Specific'!$A$13:$E$85,5,0),21)='Auto Responses'!$A$73,'Auto Responses'!$A$74,VLOOKUP($A266,'Case-Specific'!$A$13:$E$85,4,0))&amp;""</f>
        <v/>
      </c>
      <c r="E266" s="351" t="str">
        <f>VLOOKUP($A266,'Case-Specific'!$A$13:$E$85,5,0)&amp;""</f>
        <v>Based on the response to REQU-05 on the "START HERE" tab, this question does not apply to this product or service.</v>
      </c>
      <c r="F266" s="202"/>
      <c r="G266" s="37" t="str">
        <f>VLOOKUP($A266,Questions!$A$2:$X$333,21,0)&amp;""</f>
        <v>Yes</v>
      </c>
      <c r="H266" s="192"/>
      <c r="I266" s="52" t="str">
        <f>VLOOKUP($A266,Questions!$A$2:$X$333,23,0)&amp;""</f>
        <v>Standard Importance</v>
      </c>
      <c r="J266" s="192"/>
      <c r="K266" s="55" t="b">
        <v>0</v>
      </c>
      <c r="L266" s="1"/>
    </row>
    <row r="267" spans="1:12" s="36" customFormat="1" ht="90" x14ac:dyDescent="0.25">
      <c r="A267" s="25" t="str">
        <f>'Case-Specific'!A43</f>
        <v>HIPA-11</v>
      </c>
      <c r="B267" s="26" t="str">
        <f>VLOOKUP($A267,'Case-Specific'!$A$13:$E$85,2,0)&amp;""</f>
        <v>Does your application require users to set their own password after an administrator reset or on first use of the account?</v>
      </c>
      <c r="C267" s="52" t="str">
        <f>VLOOKUP($A267,'Case-Specific'!$A$13:$E$85,3,0)&amp;""</f>
        <v/>
      </c>
      <c r="D267" s="41" t="str">
        <f>IF(LEFT(VLOOKUP($A267,'Case-Specific'!$A$13:$E$85,5,0),21)='Auto Responses'!$A$73,'Auto Responses'!$A$74,VLOOKUP($A267,'Case-Specific'!$A$13:$E$85,4,0))&amp;""</f>
        <v/>
      </c>
      <c r="E267" s="351" t="str">
        <f>VLOOKUP($A267,'Case-Specific'!$A$13:$E$85,5,0)&amp;""</f>
        <v>Based on the response to REQU-05 on the "START HERE" tab, this question does not apply to this product or service.</v>
      </c>
      <c r="F267" s="202"/>
      <c r="G267" s="37" t="str">
        <f>VLOOKUP($A267,Questions!$A$2:$X$333,21,0)&amp;""</f>
        <v>Yes</v>
      </c>
      <c r="H267" s="192"/>
      <c r="I267" s="52" t="str">
        <f>VLOOKUP($A267,Questions!$A$2:$X$333,23,0)&amp;""</f>
        <v>Standard Importance</v>
      </c>
      <c r="J267" s="192"/>
      <c r="K267" s="55" t="b">
        <v>0</v>
      </c>
      <c r="L267" s="1"/>
    </row>
    <row r="268" spans="1:12" s="36" customFormat="1" ht="90" x14ac:dyDescent="0.25">
      <c r="A268" s="25" t="str">
        <f>'Case-Specific'!A44</f>
        <v>HIPA-12</v>
      </c>
      <c r="B268" s="26" t="str">
        <f>VLOOKUP($A268,'Case-Specific'!$A$13:$E$85,2,0)&amp;""</f>
        <v>Does your application lock out an account after a number of failed login attempts?</v>
      </c>
      <c r="C268" s="52" t="str">
        <f>VLOOKUP($A268,'Case-Specific'!$A$13:$E$85,3,0)&amp;""</f>
        <v/>
      </c>
      <c r="D268" s="41" t="str">
        <f>IF(LEFT(VLOOKUP($A268,'Case-Specific'!$A$13:$E$85,5,0),21)='Auto Responses'!$A$73,'Auto Responses'!$A$74,VLOOKUP($A268,'Case-Specific'!$A$13:$E$85,4,0))&amp;""</f>
        <v/>
      </c>
      <c r="E268" s="351" t="str">
        <f>VLOOKUP($A268,'Case-Specific'!$A$13:$E$85,5,0)&amp;""</f>
        <v>Based on the response to REQU-05 on the "START HERE" tab, this question does not apply to this product or service.</v>
      </c>
      <c r="F268" s="202"/>
      <c r="G268" s="37" t="str">
        <f>VLOOKUP($A268,Questions!$A$2:$X$333,21,0)&amp;""</f>
        <v>Yes</v>
      </c>
      <c r="H268" s="192"/>
      <c r="I268" s="52" t="str">
        <f>VLOOKUP($A268,Questions!$A$2:$X$333,23,0)&amp;""</f>
        <v>Standard Importance</v>
      </c>
      <c r="J268" s="192"/>
      <c r="K268" s="55" t="b">
        <v>0</v>
      </c>
      <c r="L268" s="1"/>
    </row>
    <row r="269" spans="1:12" s="36" customFormat="1" ht="90" x14ac:dyDescent="0.25">
      <c r="A269" s="25" t="str">
        <f>'Case-Specific'!A45</f>
        <v>HIPA-13</v>
      </c>
      <c r="B269" s="26" t="str">
        <f>VLOOKUP($A269,'Case-Specific'!$A$13:$E$85,2,0)&amp;""</f>
        <v>Does your application automatically lock or log-out an account after a period of inactivity?</v>
      </c>
      <c r="C269" s="52" t="str">
        <f>VLOOKUP($A269,'Case-Specific'!$A$13:$E$85,3,0)&amp;""</f>
        <v/>
      </c>
      <c r="D269" s="41" t="str">
        <f>IF(LEFT(VLOOKUP($A269,'Case-Specific'!$A$13:$E$85,5,0),21)='Auto Responses'!$A$73,'Auto Responses'!$A$74,VLOOKUP($A269,'Case-Specific'!$A$13:$E$85,4,0))&amp;""</f>
        <v/>
      </c>
      <c r="E269" s="351" t="str">
        <f>VLOOKUP($A269,'Case-Specific'!$A$13:$E$85,5,0)&amp;""</f>
        <v>Based on the response to REQU-05 on the "START HERE" tab, this question does not apply to this product or service.</v>
      </c>
      <c r="F269" s="202"/>
      <c r="G269" s="37" t="str">
        <f>VLOOKUP($A269,Questions!$A$2:$X$333,21,0)&amp;""</f>
        <v>Yes</v>
      </c>
      <c r="H269" s="192"/>
      <c r="I269" s="52" t="str">
        <f>VLOOKUP($A269,Questions!$A$2:$X$333,23,0)&amp;""</f>
        <v>Standard Importance</v>
      </c>
      <c r="J269" s="192"/>
      <c r="K269" s="55" t="b">
        <v>0</v>
      </c>
      <c r="L269" s="1"/>
    </row>
    <row r="270" spans="1:12" s="36" customFormat="1" ht="90" x14ac:dyDescent="0.25">
      <c r="A270" s="25" t="str">
        <f>'Case-Specific'!A46</f>
        <v>HIPA-14</v>
      </c>
      <c r="B270" s="26" t="str">
        <f>VLOOKUP($A270,'Case-Specific'!$A$13:$E$85,2,0)&amp;""</f>
        <v>Are passwords visible in plain text, whether when stored or entered, including service level accounts (i.e., database accounts, etc.)?</v>
      </c>
      <c r="C270" s="52" t="str">
        <f>VLOOKUP($A270,'Case-Specific'!$A$13:$E$85,3,0)&amp;""</f>
        <v/>
      </c>
      <c r="D270" s="41" t="str">
        <f>IF(LEFT(VLOOKUP($A270,'Case-Specific'!$A$13:$E$85,5,0),21)='Auto Responses'!$A$73,'Auto Responses'!$A$74,VLOOKUP($A270,'Case-Specific'!$A$13:$E$85,4,0))&amp;""</f>
        <v/>
      </c>
      <c r="E270" s="351" t="str">
        <f>VLOOKUP($A270,'Case-Specific'!$A$13:$E$85,5,0)&amp;""</f>
        <v>Based on the response to REQU-05 on the "START HERE" tab, this question does not apply to this product or service.</v>
      </c>
      <c r="F270" s="202"/>
      <c r="G270" s="37" t="str">
        <f>VLOOKUP($A270,Questions!$A$2:$X$333,21,0)&amp;""</f>
        <v>No</v>
      </c>
      <c r="H270" s="192"/>
      <c r="I270" s="52" t="str">
        <f>VLOOKUP($A270,Questions!$A$2:$X$333,23,0)&amp;""</f>
        <v>Standard Importance</v>
      </c>
      <c r="J270" s="192"/>
      <c r="K270" s="55" t="b">
        <v>0</v>
      </c>
      <c r="L270" s="1"/>
    </row>
    <row r="271" spans="1:12" s="36" customFormat="1" ht="90" x14ac:dyDescent="0.25">
      <c r="A271" s="25" t="str">
        <f>'Case-Specific'!A47</f>
        <v>HIPA-15</v>
      </c>
      <c r="B271" s="26" t="str">
        <f>VLOOKUP($A271,'Case-Specific'!$A$13:$E$85,2,0)&amp;""</f>
        <v>If the application is institution-hosted, can all service level and administrative account passwords be changed by the institution?</v>
      </c>
      <c r="C271" s="52" t="str">
        <f>VLOOKUP($A271,'Case-Specific'!$A$13:$E$85,3,0)&amp;""</f>
        <v/>
      </c>
      <c r="D271" s="41" t="str">
        <f>IF(LEFT(VLOOKUP($A271,'Case-Specific'!$A$13:$E$85,5,0),21)='Auto Responses'!$A$73,'Auto Responses'!$A$74,VLOOKUP($A271,'Case-Specific'!$A$13:$E$85,4,0))&amp;""</f>
        <v/>
      </c>
      <c r="E271" s="351" t="str">
        <f>VLOOKUP($A271,'Case-Specific'!$A$13:$E$85,5,0)&amp;""</f>
        <v>Based on the response to REQU-05 on the "START HERE" tab, this question does not apply to this product or service.</v>
      </c>
      <c r="F271" s="202"/>
      <c r="G271" s="37" t="str">
        <f>VLOOKUP($A271,Questions!$A$2:$X$333,21,0)&amp;""</f>
        <v>Yes</v>
      </c>
      <c r="H271" s="192"/>
      <c r="I271" s="52" t="str">
        <f>VLOOKUP($A271,Questions!$A$2:$X$333,23,0)&amp;""</f>
        <v>Standard Importance</v>
      </c>
      <c r="J271" s="192"/>
      <c r="K271" s="55" t="b">
        <v>0</v>
      </c>
      <c r="L271" s="1"/>
    </row>
    <row r="272" spans="1:12" s="36" customFormat="1" ht="90" x14ac:dyDescent="0.25">
      <c r="A272" s="25" t="str">
        <f>'Case-Specific'!A48</f>
        <v>HIPA-16</v>
      </c>
      <c r="B272" s="26" t="str">
        <f>VLOOKUP($A272,'Case-Specific'!$A$13:$E$85,2,0)&amp;""</f>
        <v>Does your application provide the ability to define user access levels?</v>
      </c>
      <c r="C272" s="52" t="str">
        <f>VLOOKUP($A272,'Case-Specific'!$A$13:$E$85,3,0)&amp;""</f>
        <v/>
      </c>
      <c r="D272" s="41" t="str">
        <f>IF(LEFT(VLOOKUP($A272,'Case-Specific'!$A$13:$E$85,5,0),21)='Auto Responses'!$A$73,'Auto Responses'!$A$74,VLOOKUP($A272,'Case-Specific'!$A$13:$E$85,4,0))&amp;""</f>
        <v/>
      </c>
      <c r="E272" s="351" t="str">
        <f>VLOOKUP($A272,'Case-Specific'!$A$13:$E$85,5,0)&amp;""</f>
        <v>Based on the response to REQU-05 on the "START HERE" tab, this question does not apply to this product or service.</v>
      </c>
      <c r="F272" s="202"/>
      <c r="G272" s="37" t="str">
        <f>VLOOKUP($A272,Questions!$A$2:$X$333,21,0)&amp;""</f>
        <v>Yes</v>
      </c>
      <c r="H272" s="192"/>
      <c r="I272" s="52" t="str">
        <f>VLOOKUP($A272,Questions!$A$2:$X$333,23,0)&amp;""</f>
        <v>Standard Importance</v>
      </c>
      <c r="J272" s="192"/>
      <c r="K272" s="55" t="b">
        <v>0</v>
      </c>
      <c r="L272" s="1"/>
    </row>
    <row r="273" spans="1:12" s="36" customFormat="1" ht="90" x14ac:dyDescent="0.25">
      <c r="A273" s="25" t="str">
        <f>'Case-Specific'!A49</f>
        <v>HIPA-17</v>
      </c>
      <c r="B273" s="26" t="str">
        <f>VLOOKUP($A273,'Case-Specific'!$A$13:$E$85,2,0)&amp;""</f>
        <v>Does your application support varying levels of access to administrative tasks defined individually per user?</v>
      </c>
      <c r="C273" s="52" t="str">
        <f>VLOOKUP($A273,'Case-Specific'!$A$13:$E$85,3,0)&amp;""</f>
        <v/>
      </c>
      <c r="D273" s="41" t="str">
        <f>IF(LEFT(VLOOKUP($A273,'Case-Specific'!$A$13:$E$85,5,0),21)='Auto Responses'!$A$73,'Auto Responses'!$A$74,VLOOKUP($A273,'Case-Specific'!$A$13:$E$85,4,0))&amp;""</f>
        <v/>
      </c>
      <c r="E273" s="351" t="str">
        <f>VLOOKUP($A273,'Case-Specific'!$A$13:$E$85,5,0)&amp;""</f>
        <v>Based on the response to REQU-05 on the "START HERE" tab, this question does not apply to this product or service.</v>
      </c>
      <c r="F273" s="202"/>
      <c r="G273" s="37" t="str">
        <f>VLOOKUP($A273,Questions!$A$2:$X$333,21,0)&amp;""</f>
        <v>Yes</v>
      </c>
      <c r="H273" s="192"/>
      <c r="I273" s="52" t="str">
        <f>VLOOKUP($A273,Questions!$A$2:$X$333,23,0)&amp;""</f>
        <v>Standard Importance</v>
      </c>
      <c r="J273" s="192"/>
      <c r="K273" s="55" t="b">
        <v>0</v>
      </c>
      <c r="L273" s="1"/>
    </row>
    <row r="274" spans="1:12" s="36" customFormat="1" ht="90" x14ac:dyDescent="0.25">
      <c r="A274" s="25" t="str">
        <f>'Case-Specific'!A50</f>
        <v>HIPA-18</v>
      </c>
      <c r="B274" s="26" t="str">
        <f>VLOOKUP($A274,'Case-Specific'!$A$13:$E$85,2,0)&amp;""</f>
        <v>Does your application support varying levels of access to records based on user ID?</v>
      </c>
      <c r="C274" s="52" t="str">
        <f>VLOOKUP($A274,'Case-Specific'!$A$13:$E$85,3,0)&amp;""</f>
        <v/>
      </c>
      <c r="D274" s="41" t="str">
        <f>IF(LEFT(VLOOKUP($A274,'Case-Specific'!$A$13:$E$85,5,0),21)='Auto Responses'!$A$73,'Auto Responses'!$A$74,VLOOKUP($A274,'Case-Specific'!$A$13:$E$85,4,0))&amp;""</f>
        <v/>
      </c>
      <c r="E274" s="351" t="str">
        <f>VLOOKUP($A274,'Case-Specific'!$A$13:$E$85,5,0)&amp;""</f>
        <v>Based on the response to REQU-05 on the "START HERE" tab, this question does not apply to this product or service.</v>
      </c>
      <c r="F274" s="202"/>
      <c r="G274" s="37" t="str">
        <f>VLOOKUP($A274,Questions!$A$2:$X$333,21,0)&amp;""</f>
        <v>No</v>
      </c>
      <c r="H274" s="192"/>
      <c r="I274" s="52" t="str">
        <f>VLOOKUP($A274,Questions!$A$2:$X$333,23,0)&amp;""</f>
        <v>Standard Importance</v>
      </c>
      <c r="J274" s="192"/>
      <c r="K274" s="55" t="b">
        <v>0</v>
      </c>
      <c r="L274" s="1"/>
    </row>
    <row r="275" spans="1:12" s="36" customFormat="1" ht="90" x14ac:dyDescent="0.25">
      <c r="A275" s="25" t="str">
        <f>'Case-Specific'!A51</f>
        <v>HIPA-19</v>
      </c>
      <c r="B275" s="26" t="str">
        <f>VLOOKUP($A275,'Case-Specific'!$A$13:$E$85,2,0)&amp;""</f>
        <v>Is there a limit to the number of groups to which a user can be assigned?</v>
      </c>
      <c r="C275" s="52" t="str">
        <f>VLOOKUP($A275,'Case-Specific'!$A$13:$E$85,3,0)&amp;""</f>
        <v/>
      </c>
      <c r="D275" s="41" t="str">
        <f>IF(LEFT(VLOOKUP($A275,'Case-Specific'!$A$13:$E$85,5,0),21)='Auto Responses'!$A$73,'Auto Responses'!$A$74,VLOOKUP($A275,'Case-Specific'!$A$13:$E$85,4,0))&amp;""</f>
        <v/>
      </c>
      <c r="E275" s="351" t="str">
        <f>VLOOKUP($A275,'Case-Specific'!$A$13:$E$85,5,0)&amp;""</f>
        <v>Based on the response to REQU-05 on the "START HERE" tab, this question does not apply to this product or service.</v>
      </c>
      <c r="F275" s="202"/>
      <c r="G275" s="37" t="str">
        <f>VLOOKUP($A275,Questions!$A$2:$X$333,21,0)&amp;""</f>
        <v>Yes</v>
      </c>
      <c r="H275" s="192"/>
      <c r="I275" s="52" t="str">
        <f>VLOOKUP($A275,Questions!$A$2:$X$333,23,0)&amp;""</f>
        <v>Standard Importance</v>
      </c>
      <c r="J275" s="192"/>
      <c r="K275" s="55" t="b">
        <v>0</v>
      </c>
      <c r="L275" s="1"/>
    </row>
    <row r="276" spans="1:12" s="36" customFormat="1" ht="90" x14ac:dyDescent="0.25">
      <c r="A276" s="25" t="str">
        <f>'Case-Specific'!A52</f>
        <v>HIPA-20</v>
      </c>
      <c r="B276" s="26" t="str">
        <f>VLOOKUP($A276,'Case-Specific'!$A$13:$E$85,2,0)&amp;""</f>
        <v>Do accounts used for solution provider-supplied remote support abide by the same authentication policies and access logging as the rest of the system?</v>
      </c>
      <c r="C276" s="52" t="str">
        <f>VLOOKUP($A276,'Case-Specific'!$A$13:$E$85,3,0)&amp;""</f>
        <v/>
      </c>
      <c r="D276" s="41" t="str">
        <f>IF(LEFT(VLOOKUP($A276,'Case-Specific'!$A$13:$E$85,5,0),21)='Auto Responses'!$A$73,'Auto Responses'!$A$74,VLOOKUP($A276,'Case-Specific'!$A$13:$E$85,4,0))&amp;""</f>
        <v/>
      </c>
      <c r="E276" s="351" t="str">
        <f>VLOOKUP($A276,'Case-Specific'!$A$13:$E$85,5,0)&amp;""</f>
        <v>Based on the response to REQU-05 on the "START HERE" tab, this question does not apply to this product or service.</v>
      </c>
      <c r="F276" s="202"/>
      <c r="G276" s="37" t="str">
        <f>VLOOKUP($A276,Questions!$A$2:$X$333,21,0)&amp;""</f>
        <v>Yes</v>
      </c>
      <c r="H276" s="192"/>
      <c r="I276" s="52" t="str">
        <f>VLOOKUP($A276,Questions!$A$2:$X$333,23,0)&amp;""</f>
        <v>Standard Importance</v>
      </c>
      <c r="J276" s="192"/>
      <c r="K276" s="55" t="b">
        <v>0</v>
      </c>
      <c r="L276" s="1"/>
    </row>
    <row r="277" spans="1:12" s="36" customFormat="1" ht="90" x14ac:dyDescent="0.25">
      <c r="A277" s="25" t="str">
        <f>'Case-Specific'!A53</f>
        <v>HIPA-21</v>
      </c>
      <c r="B277" s="26" t="str">
        <f>VLOOKUP($A277,'Case-Specific'!$A$13:$E$85,2,0)&amp;""</f>
        <v>Does the application log record access including specific user, date/time of access, and originating IP or device?</v>
      </c>
      <c r="C277" s="52" t="str">
        <f>VLOOKUP($A277,'Case-Specific'!$A$13:$E$85,3,0)&amp;""</f>
        <v/>
      </c>
      <c r="D277" s="41" t="str">
        <f>IF(LEFT(VLOOKUP($A277,'Case-Specific'!$A$13:$E$85,5,0),21)='Auto Responses'!$A$73,'Auto Responses'!$A$74,VLOOKUP($A277,'Case-Specific'!$A$13:$E$85,4,0))&amp;""</f>
        <v/>
      </c>
      <c r="E277" s="351" t="str">
        <f>VLOOKUP($A277,'Case-Specific'!$A$13:$E$85,5,0)&amp;""</f>
        <v>Based on the response to REQU-05 on the "START HERE" tab, this question does not apply to this product or service.</v>
      </c>
      <c r="F277" s="202"/>
      <c r="G277" s="37" t="str">
        <f>VLOOKUP($A277,Questions!$A$2:$X$333,21,0)&amp;""</f>
        <v>Yes</v>
      </c>
      <c r="H277" s="192"/>
      <c r="I277" s="52" t="str">
        <f>VLOOKUP($A277,Questions!$A$2:$X$333,23,0)&amp;""</f>
        <v>Standard Importance</v>
      </c>
      <c r="J277" s="192"/>
      <c r="K277" s="55" t="b">
        <v>0</v>
      </c>
      <c r="L277" s="1"/>
    </row>
    <row r="278" spans="1:12" s="36" customFormat="1" ht="90" x14ac:dyDescent="0.25">
      <c r="A278" s="25" t="str">
        <f>'Case-Specific'!A54</f>
        <v>HIPA-22</v>
      </c>
      <c r="B278" s="26" t="str">
        <f>VLOOKUP($A278,'Case-Specific'!$A$13:$E$85,2,0)&amp;""</f>
        <v>Does the application log administrative activity, such as user account access changes and password changes, including specific user, date/time of changes, and originating IP or device?</v>
      </c>
      <c r="C278" s="52" t="str">
        <f>VLOOKUP($A278,'Case-Specific'!$A$13:$E$85,3,0)&amp;""</f>
        <v/>
      </c>
      <c r="D278" s="41" t="str">
        <f>IF(LEFT(VLOOKUP($A278,'Case-Specific'!$A$13:$E$85,5,0),21)='Auto Responses'!$A$73,'Auto Responses'!$A$74,VLOOKUP($A278,'Case-Specific'!$A$13:$E$85,4,0))&amp;""</f>
        <v/>
      </c>
      <c r="E278" s="351" t="str">
        <f>VLOOKUP($A278,'Case-Specific'!$A$13:$E$85,5,0)&amp;""</f>
        <v>Based on the response to REQU-05 on the "START HERE" tab, this question does not apply to this product or service.</v>
      </c>
      <c r="F278" s="202"/>
      <c r="G278" s="37" t="str">
        <f>VLOOKUP($A278,Questions!$A$2:$X$333,21,0)&amp;""</f>
        <v>Yes</v>
      </c>
      <c r="H278" s="192"/>
      <c r="I278" s="52" t="str">
        <f>VLOOKUP($A278,Questions!$A$2:$X$333,23,0)&amp;""</f>
        <v>Standard Importance</v>
      </c>
      <c r="J278" s="192"/>
      <c r="K278" s="55" t="b">
        <v>0</v>
      </c>
      <c r="L278" s="1"/>
    </row>
    <row r="279" spans="1:12" s="36" customFormat="1" ht="90" x14ac:dyDescent="0.25">
      <c r="A279" s="25" t="str">
        <f>'Case-Specific'!A55</f>
        <v>HIPA-23</v>
      </c>
      <c r="B279" s="26" t="str">
        <f>VLOOKUP($A279,'Case-Specific'!$A$13:$E$85,2,0)&amp;""</f>
        <v>Do you retain logs for at least as long as required by HIPAA regulations?</v>
      </c>
      <c r="C279" s="52" t="str">
        <f>VLOOKUP($A279,'Case-Specific'!$A$13:$E$85,3,0)&amp;""</f>
        <v/>
      </c>
      <c r="D279" s="41" t="str">
        <f>IF(LEFT(VLOOKUP($A279,'Case-Specific'!$A$13:$E$85,5,0),21)='Auto Responses'!$A$73,'Auto Responses'!$A$74,VLOOKUP($A279,'Case-Specific'!$A$13:$E$85,4,0))&amp;""</f>
        <v/>
      </c>
      <c r="E279" s="351" t="str">
        <f>VLOOKUP($A279,'Case-Specific'!$A$13:$E$85,5,0)&amp;""</f>
        <v>Based on the response to REQU-05 on the "START HERE" tab, this question does not apply to this product or service.</v>
      </c>
      <c r="F279" s="202"/>
      <c r="G279" s="37" t="str">
        <f>VLOOKUP($A279,Questions!$A$2:$X$333,21,0)&amp;""</f>
        <v>Yes</v>
      </c>
      <c r="H279" s="192"/>
      <c r="I279" s="52" t="str">
        <f>VLOOKUP($A279,Questions!$A$2:$X$333,23,0)&amp;""</f>
        <v>Standard Importance</v>
      </c>
      <c r="J279" s="192"/>
      <c r="K279" s="55" t="b">
        <v>0</v>
      </c>
      <c r="L279" s="1"/>
    </row>
    <row r="280" spans="1:12" s="36" customFormat="1" ht="90" x14ac:dyDescent="0.25">
      <c r="A280" s="25" t="str">
        <f>'Case-Specific'!A56</f>
        <v>HIPA-24</v>
      </c>
      <c r="B280" s="26" t="str">
        <f>VLOOKUP($A280,'Case-Specific'!$A$13:$E$85,2,0)&amp;""</f>
        <v>Can the application logs be archived?</v>
      </c>
      <c r="C280" s="52" t="str">
        <f>VLOOKUP($A280,'Case-Specific'!$A$13:$E$85,3,0)&amp;""</f>
        <v/>
      </c>
      <c r="D280" s="41" t="str">
        <f>IF(LEFT(VLOOKUP($A280,'Case-Specific'!$A$13:$E$85,5,0),21)='Auto Responses'!$A$73,'Auto Responses'!$A$74,VLOOKUP($A280,'Case-Specific'!$A$13:$E$85,4,0))&amp;""</f>
        <v/>
      </c>
      <c r="E280" s="351" t="str">
        <f>VLOOKUP($A280,'Case-Specific'!$A$13:$E$85,5,0)&amp;""</f>
        <v>Based on the response to REQU-05 on the "START HERE" tab, this question does not apply to this product or service.</v>
      </c>
      <c r="F280" s="202"/>
      <c r="G280" s="37" t="str">
        <f>VLOOKUP($A280,Questions!$A$2:$X$333,21,0)&amp;""</f>
        <v>Yes</v>
      </c>
      <c r="H280" s="192"/>
      <c r="I280" s="52" t="str">
        <f>VLOOKUP($A280,Questions!$A$2:$X$333,23,0)&amp;""</f>
        <v>Standard Importance</v>
      </c>
      <c r="J280" s="192"/>
      <c r="K280" s="55" t="b">
        <v>0</v>
      </c>
      <c r="L280" s="1"/>
    </row>
    <row r="281" spans="1:12" s="36" customFormat="1" ht="90" x14ac:dyDescent="0.25">
      <c r="A281" s="25" t="str">
        <f>'Case-Specific'!A57</f>
        <v>HIPA-25</v>
      </c>
      <c r="B281" s="26" t="str">
        <f>VLOOKUP($A281,'Case-Specific'!$A$13:$E$85,2,0)&amp;""</f>
        <v>Can the application logs be saved externally?</v>
      </c>
      <c r="C281" s="52" t="str">
        <f>VLOOKUP($A281,'Case-Specific'!$A$13:$E$85,3,0)&amp;""</f>
        <v/>
      </c>
      <c r="D281" s="41" t="str">
        <f>IF(LEFT(VLOOKUP($A281,'Case-Specific'!$A$13:$E$85,5,0),21)='Auto Responses'!$A$73,'Auto Responses'!$A$74,VLOOKUP($A281,'Case-Specific'!$A$13:$E$85,4,0))&amp;""</f>
        <v/>
      </c>
      <c r="E281" s="351" t="str">
        <f>VLOOKUP($A281,'Case-Specific'!$A$13:$E$85,5,0)&amp;""</f>
        <v>Based on the response to REQU-05 on the "START HERE" tab, this question does not apply to this product or service.</v>
      </c>
      <c r="F281" s="202"/>
      <c r="G281" s="37" t="str">
        <f>VLOOKUP($A281,Questions!$A$2:$X$333,21,0)&amp;""</f>
        <v>Yes</v>
      </c>
      <c r="H281" s="192"/>
      <c r="I281" s="52" t="str">
        <f>VLOOKUP($A281,Questions!$A$2:$X$333,23,0)&amp;""</f>
        <v>Standard Importance</v>
      </c>
      <c r="J281" s="192"/>
      <c r="K281" s="55" t="b">
        <v>0</v>
      </c>
      <c r="L281" s="1"/>
    </row>
    <row r="282" spans="1:12" s="36" customFormat="1" ht="90" x14ac:dyDescent="0.25">
      <c r="A282" s="25" t="str">
        <f>'Case-Specific'!A58</f>
        <v>HIPA-26</v>
      </c>
      <c r="B282" s="26" t="str">
        <f>VLOOKUP($A282,'Case-Specific'!$A$13:$E$85,2,0)&amp;""</f>
        <v>Do you have a disaster recovery plan and emergency mode operation plan?</v>
      </c>
      <c r="C282" s="52" t="str">
        <f>VLOOKUP($A282,'Case-Specific'!$A$13:$E$85,3,0)&amp;""</f>
        <v/>
      </c>
      <c r="D282" s="41" t="str">
        <f>IF(LEFT(VLOOKUP($A282,'Case-Specific'!$A$13:$E$85,5,0),21)='Auto Responses'!$A$73,'Auto Responses'!$A$74,VLOOKUP($A282,'Case-Specific'!$A$13:$E$85,4,0))&amp;""</f>
        <v/>
      </c>
      <c r="E282" s="351" t="str">
        <f>VLOOKUP($A282,'Case-Specific'!$A$13:$E$85,5,0)&amp;""</f>
        <v>Based on the response to REQU-05 on the "START HERE" tab, this question does not apply to this product or service.</v>
      </c>
      <c r="F282" s="202"/>
      <c r="G282" s="37" t="str">
        <f>VLOOKUP($A282,Questions!$A$2:$X$333,21,0)&amp;""</f>
        <v>Yes</v>
      </c>
      <c r="H282" s="192"/>
      <c r="I282" s="52" t="str">
        <f>VLOOKUP($A282,Questions!$A$2:$X$333,23,0)&amp;""</f>
        <v>Standard Importance</v>
      </c>
      <c r="J282" s="192"/>
      <c r="K282" s="55" t="b">
        <v>0</v>
      </c>
      <c r="L282" s="1"/>
    </row>
    <row r="283" spans="1:12" s="36" customFormat="1" ht="90" x14ac:dyDescent="0.25">
      <c r="A283" s="25" t="str">
        <f>'Case-Specific'!A59</f>
        <v>HIPA-27</v>
      </c>
      <c r="B283" s="26" t="str">
        <f>VLOOKUP($A283,'Case-Specific'!$A$13:$E$85,2,0)&amp;""</f>
        <v>Can you provide a HIPAA compliance attestation document?</v>
      </c>
      <c r="C283" s="52" t="str">
        <f>VLOOKUP($A283,'Case-Specific'!$A$13:$E$85,3,0)&amp;""</f>
        <v/>
      </c>
      <c r="D283" s="41" t="str">
        <f>IF(LEFT(VLOOKUP($A283,'Case-Specific'!$A$13:$E$85,5,0),21)='Auto Responses'!$A$73,'Auto Responses'!$A$74,VLOOKUP($A283,'Case-Specific'!$A$13:$E$85,4,0))&amp;""</f>
        <v/>
      </c>
      <c r="E283" s="351" t="str">
        <f>VLOOKUP($A283,'Case-Specific'!$A$13:$E$85,5,0)&amp;""</f>
        <v>Based on the response to REQU-05 on the "START HERE" tab, this question does not apply to this product or service.</v>
      </c>
      <c r="F283" s="202"/>
      <c r="G283" s="37" t="str">
        <f>VLOOKUP($A283,Questions!$A$2:$X$333,21,0)&amp;""</f>
        <v>Yes</v>
      </c>
      <c r="H283" s="192"/>
      <c r="I283" s="52" t="str">
        <f>VLOOKUP($A283,Questions!$A$2:$X$333,23,0)&amp;""</f>
        <v>Standard Importance</v>
      </c>
      <c r="J283" s="192"/>
      <c r="K283" s="55" t="b">
        <v>0</v>
      </c>
      <c r="L283" s="1"/>
    </row>
    <row r="284" spans="1:12" s="36" customFormat="1" ht="90" x14ac:dyDescent="0.25">
      <c r="A284" s="25" t="str">
        <f>'Case-Specific'!A60</f>
        <v>HIPA-28</v>
      </c>
      <c r="B284" s="26" t="str">
        <f>VLOOKUP($A284,'Case-Specific'!$A$13:$E$85,2,0)&amp;""</f>
        <v>Are you willing to enter into a Business Associate Agreement (BAA)?</v>
      </c>
      <c r="C284" s="52" t="str">
        <f>VLOOKUP($A284,'Case-Specific'!$A$13:$E$85,3,0)&amp;""</f>
        <v/>
      </c>
      <c r="D284" s="41" t="str">
        <f>IF(LEFT(VLOOKUP($A284,'Case-Specific'!$A$13:$E$85,5,0),21)='Auto Responses'!$A$73,'Auto Responses'!$A$74,VLOOKUP($A284,'Case-Specific'!$A$13:$E$85,4,0))&amp;""</f>
        <v/>
      </c>
      <c r="E284" s="351" t="str">
        <f>VLOOKUP($A284,'Case-Specific'!$A$13:$E$85,5,0)&amp;""</f>
        <v>Based on the response to REQU-05 on the "START HERE" tab, this question does not apply to this product or service.</v>
      </c>
      <c r="F284" s="202"/>
      <c r="G284" s="37" t="str">
        <f>VLOOKUP($A284,Questions!$A$2:$X$333,21,0)&amp;""</f>
        <v>Yes</v>
      </c>
      <c r="H284" s="192"/>
      <c r="I284" s="52" t="str">
        <f>VLOOKUP($A284,Questions!$A$2:$X$333,23,0)&amp;""</f>
        <v>Standard Importance</v>
      </c>
      <c r="J284" s="192"/>
      <c r="K284" s="55" t="b">
        <v>0</v>
      </c>
      <c r="L284" s="1"/>
    </row>
    <row r="285" spans="1:12" s="36" customFormat="1" ht="90" x14ac:dyDescent="0.25">
      <c r="A285" s="25" t="str">
        <f>'Case-Specific'!A61</f>
        <v>HIPA-29</v>
      </c>
      <c r="B285" s="26" t="str">
        <f>VLOOKUP($A285,'Case-Specific'!$A$13:$E$85,2,0)&amp;""</f>
        <v>Do your data backup and retention policies and practices meet HIPAA requirements?</v>
      </c>
      <c r="C285" s="52" t="str">
        <f>VLOOKUP($A285,'Case-Specific'!$A$13:$E$85,3,0)&amp;""</f>
        <v/>
      </c>
      <c r="D285" s="41" t="str">
        <f>IF(LEFT(VLOOKUP($A285,'Case-Specific'!$A$13:$E$85,5,0),21)='Auto Responses'!$A$73,'Auto Responses'!$A$74,VLOOKUP($A285,'Case-Specific'!$A$13:$E$85,4,0))&amp;""</f>
        <v/>
      </c>
      <c r="E285" s="351" t="str">
        <f>VLOOKUP($A285,'Case-Specific'!$A$13:$E$85,5,0)&amp;""</f>
        <v>Based on the response to REQU-05 on the "START HERE" tab, this question does not apply to this product or service.</v>
      </c>
      <c r="F285" s="202"/>
      <c r="G285" s="37" t="str">
        <f>VLOOKUP($A285,Questions!$A$2:$X$333,21,0)&amp;""</f>
        <v>Yes</v>
      </c>
      <c r="H285" s="192"/>
      <c r="I285" s="52" t="str">
        <f>VLOOKUP($A285,Questions!$A$2:$X$333,23,0)&amp;""</f>
        <v>Minor Importance</v>
      </c>
      <c r="J285" s="192"/>
      <c r="K285" s="55" t="b">
        <v>0</v>
      </c>
      <c r="L285" s="1"/>
    </row>
    <row r="286" spans="1:12" s="1" customFormat="1" ht="17.5" x14ac:dyDescent="0.25">
      <c r="A286" s="70" t="str">
        <f>VLOOKUP(LEFT($A287,4),'Auto Responses'!$N$4:$O$38,2,0)&amp;""</f>
        <v xml:space="preserve"> Payment Card Industry Data Security Standard (PCI DSS)</v>
      </c>
      <c r="B286" s="29"/>
      <c r="C286" s="38"/>
      <c r="D286" s="38"/>
      <c r="E286" s="352"/>
      <c r="F286" s="139" t="s">
        <v>1089</v>
      </c>
      <c r="G286" s="359" t="s">
        <v>925</v>
      </c>
      <c r="H286" s="359" t="s">
        <v>927</v>
      </c>
      <c r="I286" s="359" t="s">
        <v>19</v>
      </c>
      <c r="J286" s="359" t="s">
        <v>912</v>
      </c>
      <c r="K286" s="38"/>
    </row>
    <row r="287" spans="1:12" s="36" customFormat="1" ht="90" x14ac:dyDescent="0.25">
      <c r="A287" s="25" t="str">
        <f>'Case-Specific'!A63</f>
        <v>PCID-01</v>
      </c>
      <c r="B287" s="26" t="str">
        <f>VLOOKUP($A287,'Case-Specific'!$A$13:$E$85,2,0)&amp;""</f>
        <v>Do you have a current, executed within the past year, Attestation of Compliance (AoC) or Report on Compliance (RoC)?*</v>
      </c>
      <c r="C287" s="52" t="str">
        <f>VLOOKUP($A287,'Case-Specific'!$A$13:$E$85,3,0)&amp;""</f>
        <v/>
      </c>
      <c r="D287" s="41" t="str">
        <f>IF(LEFT(VLOOKUP($A287,'Case-Specific'!$A$13:$E$85,5,0),21)='Auto Responses'!$A$73,'Auto Responses'!$A$74,VLOOKUP($A287,'Case-Specific'!$A$13:$E$85,4,0))&amp;""</f>
        <v/>
      </c>
      <c r="E287" s="351" t="str">
        <f>VLOOKUP($A287,'Case-Specific'!$A$13:$E$85,5,0)&amp;""</f>
        <v>Based on the response to REQU-06 on the "START HERE" tab, this question does not apply to this product or service.</v>
      </c>
      <c r="F287" s="202"/>
      <c r="G287" s="37" t="str">
        <f>VLOOKUP($A287,Questions!$A$2:$X$333,21,0)&amp;""</f>
        <v>Yes</v>
      </c>
      <c r="H287" s="192"/>
      <c r="I287" s="52" t="str">
        <f>VLOOKUP($A287,Questions!$A$2:$X$333,23,0)&amp;""</f>
        <v>Critical Importance</v>
      </c>
      <c r="J287" s="192"/>
      <c r="K287" s="55" t="b">
        <v>0</v>
      </c>
      <c r="L287" s="1"/>
    </row>
    <row r="288" spans="1:12" s="36" customFormat="1" ht="90" x14ac:dyDescent="0.25">
      <c r="A288" s="25" t="str">
        <f>'Case-Specific'!A64</f>
        <v>PCID-02</v>
      </c>
      <c r="B288" s="26" t="str">
        <f>VLOOKUP($A288,'Case-Specific'!$A$13:$E$85,2,0)&amp;""</f>
        <v>Is the application listed as an approved Payment Application Data Security Standard (PA-DSS) application?*</v>
      </c>
      <c r="C288" s="52" t="str">
        <f>VLOOKUP($A288,'Case-Specific'!$A$13:$E$85,3,0)&amp;""</f>
        <v/>
      </c>
      <c r="D288" s="41" t="str">
        <f>IF(LEFT(VLOOKUP($A288,'Case-Specific'!$A$13:$E$85,5,0),21)='Auto Responses'!$A$73,'Auto Responses'!$A$74,VLOOKUP($A288,'Case-Specific'!$A$13:$E$85,4,0))&amp;""</f>
        <v/>
      </c>
      <c r="E288" s="351" t="str">
        <f>VLOOKUP($A288,'Case-Specific'!$A$13:$E$85,5,0)&amp;""</f>
        <v>Based on the response to REQU-06 on the "START HERE" tab, this question does not apply to this product or service.</v>
      </c>
      <c r="F288" s="202"/>
      <c r="G288" s="37" t="str">
        <f>VLOOKUP($A288,Questions!$A$2:$X$333,21,0)&amp;""</f>
        <v>No</v>
      </c>
      <c r="H288" s="192"/>
      <c r="I288" s="52" t="str">
        <f>VLOOKUP($A288,Questions!$A$2:$X$333,23,0)&amp;""</f>
        <v>Critical Importance</v>
      </c>
      <c r="J288" s="192"/>
      <c r="K288" s="55" t="b">
        <v>0</v>
      </c>
      <c r="L288" s="1"/>
    </row>
    <row r="289" spans="1:12" s="36" customFormat="1" ht="90" x14ac:dyDescent="0.25">
      <c r="A289" s="25" t="str">
        <f>'Case-Specific'!A65</f>
        <v>PCID-03</v>
      </c>
      <c r="B289" s="26" t="str">
        <f>VLOOKUP($A289,'Case-Specific'!$A$13:$E$85,2,0)&amp;""</f>
        <v>Does the system or solutions use a third party to collect, store, process, or transmit cardholder (payment/credit/debt card) data?*</v>
      </c>
      <c r="C289" s="52" t="str">
        <f>VLOOKUP($A289,'Case-Specific'!$A$13:$E$85,3,0)&amp;""</f>
        <v/>
      </c>
      <c r="D289" s="41" t="str">
        <f>IF(LEFT(VLOOKUP($A289,'Case-Specific'!$A$13:$E$85,5,0),21)='Auto Responses'!$A$73,'Auto Responses'!$A$74,VLOOKUP($A289,'Case-Specific'!$A$13:$E$85,4,0))&amp;""</f>
        <v/>
      </c>
      <c r="E289" s="351" t="str">
        <f>VLOOKUP($A289,'Case-Specific'!$A$13:$E$85,5,0)&amp;""</f>
        <v>Based on the response to REQU-06 on the "START HERE" tab, this question does not apply to this product or service.</v>
      </c>
      <c r="F289" s="202"/>
      <c r="G289" s="37" t="str">
        <f>VLOOKUP($A289,Questions!$A$2:$X$333,21,0)&amp;""</f>
        <v>No</v>
      </c>
      <c r="H289" s="192"/>
      <c r="I289" s="52" t="str">
        <f>VLOOKUP($A289,Questions!$A$2:$X$333,23,0)&amp;""</f>
        <v>Critical Importance</v>
      </c>
      <c r="J289" s="192"/>
      <c r="K289" s="55" t="b">
        <v>0</v>
      </c>
      <c r="L289" s="1"/>
    </row>
    <row r="290" spans="1:12" s="36" customFormat="1" ht="90" x14ac:dyDescent="0.25">
      <c r="A290" s="25" t="str">
        <f>'Case-Specific'!A66</f>
        <v>PCID-04</v>
      </c>
      <c r="B290" s="26" t="str">
        <f>VLOOKUP($A290,'Case-Specific'!$A$13:$E$85,2,0)&amp;""</f>
        <v>Do your systems or solutions store, process, or transmit cardholder (payment/credit/debt card) data?</v>
      </c>
      <c r="C290" s="52" t="str">
        <f>VLOOKUP($A290,'Case-Specific'!$A$13:$E$85,3,0)&amp;""</f>
        <v/>
      </c>
      <c r="D290" s="41" t="str">
        <f>IF(LEFT(VLOOKUP($A290,'Case-Specific'!$A$13:$E$85,5,0),21)='Auto Responses'!$A$73,'Auto Responses'!$A$74,VLOOKUP($A290,'Case-Specific'!$A$13:$E$85,4,0))&amp;""</f>
        <v/>
      </c>
      <c r="E290" s="351" t="str">
        <f>VLOOKUP($A290,'Case-Specific'!$A$13:$E$85,5,0)&amp;""</f>
        <v>Based on the response to REQU-06 on the "START HERE" tab, this question does not apply to this product or service.</v>
      </c>
      <c r="F290" s="202"/>
      <c r="G290" s="37" t="str">
        <f>VLOOKUP($A290,Questions!$A$2:$X$333,21,0)&amp;""</f>
        <v>Yes</v>
      </c>
      <c r="H290" s="192"/>
      <c r="I290" s="52" t="str">
        <f>VLOOKUP($A290,Questions!$A$2:$X$333,23,0)&amp;""</f>
        <v>Standard Importance</v>
      </c>
      <c r="J290" s="192"/>
      <c r="K290" s="55" t="b">
        <v>0</v>
      </c>
      <c r="L290" s="1"/>
    </row>
    <row r="291" spans="1:12" s="36" customFormat="1" ht="90" x14ac:dyDescent="0.25">
      <c r="A291" s="25" t="str">
        <f>'Case-Specific'!A67</f>
        <v>PCID-05</v>
      </c>
      <c r="B291" s="26" t="str">
        <f>VLOOKUP($A291,'Case-Specific'!$A$13:$E$85,2,0)&amp;""</f>
        <v>Are you compliant with the Payment Card Industry Data Security Standard (PCI DSS)?</v>
      </c>
      <c r="C291" s="52" t="str">
        <f>VLOOKUP($A291,'Case-Specific'!$A$13:$E$85,3,0)&amp;""</f>
        <v/>
      </c>
      <c r="D291" s="41" t="str">
        <f>IF(LEFT(VLOOKUP($A291,'Case-Specific'!$A$13:$E$85,5,0),21)='Auto Responses'!$A$73,'Auto Responses'!$A$74,VLOOKUP($A291,'Case-Specific'!$A$13:$E$85,4,0))&amp;""</f>
        <v/>
      </c>
      <c r="E291" s="351" t="str">
        <f>VLOOKUP($A291,'Case-Specific'!$A$13:$E$85,5,0)&amp;""</f>
        <v>Based on the response to REQU-06 on the "START HERE" tab, this question does not apply to this product or service.</v>
      </c>
      <c r="F291" s="202"/>
      <c r="G291" s="37" t="str">
        <f>VLOOKUP($A291,Questions!$A$2:$X$333,21,0)&amp;""</f>
        <v>Yes</v>
      </c>
      <c r="H291" s="192"/>
      <c r="I291" s="52" t="str">
        <f>VLOOKUP($A291,Questions!$A$2:$X$333,23,0)&amp;""</f>
        <v>Standard Importance</v>
      </c>
      <c r="J291" s="192"/>
      <c r="K291" s="55" t="b">
        <v>0</v>
      </c>
      <c r="L291" s="1"/>
    </row>
    <row r="292" spans="1:12" s="36" customFormat="1" ht="90" x14ac:dyDescent="0.25">
      <c r="A292" s="25" t="str">
        <f>'Case-Specific'!A68</f>
        <v>PCID-06</v>
      </c>
      <c r="B292" s="26" t="str">
        <f>VLOOKUP($A292,'Case-Specific'!$A$13:$E$85,2,0)&amp;""</f>
        <v>Are you classified as a service provider?</v>
      </c>
      <c r="C292" s="52" t="str">
        <f>VLOOKUP($A292,'Case-Specific'!$A$13:$E$85,3,0)&amp;""</f>
        <v/>
      </c>
      <c r="D292" s="41" t="str">
        <f>IF(LEFT(VLOOKUP($A292,'Case-Specific'!$A$13:$E$85,5,0),21)='Auto Responses'!$A$73,'Auto Responses'!$A$74,VLOOKUP($A292,'Case-Specific'!$A$13:$E$85,4,0))&amp;""</f>
        <v/>
      </c>
      <c r="E292" s="351" t="str">
        <f>VLOOKUP($A292,'Case-Specific'!$A$13:$E$85,5,0)&amp;""</f>
        <v>Based on the response to REQU-06 on the "START HERE" tab, this question does not apply to this product or service.</v>
      </c>
      <c r="F292" s="202"/>
      <c r="G292" s="37" t="str">
        <f>VLOOKUP($A292,Questions!$A$2:$X$333,21,0)&amp;""</f>
        <v>Yes</v>
      </c>
      <c r="H292" s="192"/>
      <c r="I292" s="52" t="str">
        <f>VLOOKUP($A292,Questions!$A$2:$X$333,23,0)&amp;""</f>
        <v>Standard Importance</v>
      </c>
      <c r="J292" s="192"/>
      <c r="K292" s="55" t="b">
        <v>0</v>
      </c>
      <c r="L292" s="1"/>
    </row>
    <row r="293" spans="1:12" s="36" customFormat="1" ht="90" x14ac:dyDescent="0.25">
      <c r="A293" s="25" t="str">
        <f>'Case-Specific'!A69</f>
        <v>PCID-07</v>
      </c>
      <c r="B293" s="26" t="str">
        <f>VLOOKUP($A293,'Case-Specific'!$A$13:$E$85,2,0)&amp;""</f>
        <v>Are you on the list of Visa approved service providers?</v>
      </c>
      <c r="C293" s="52" t="str">
        <f>VLOOKUP($A293,'Case-Specific'!$A$13:$E$85,3,0)&amp;""</f>
        <v/>
      </c>
      <c r="D293" s="41" t="str">
        <f>IF(LEFT(VLOOKUP($A293,'Case-Specific'!$A$13:$E$85,5,0),21)='Auto Responses'!$A$73,'Auto Responses'!$A$74,VLOOKUP($A293,'Case-Specific'!$A$13:$E$85,4,0))&amp;""</f>
        <v/>
      </c>
      <c r="E293" s="351" t="str">
        <f>VLOOKUP($A293,'Case-Specific'!$A$13:$E$85,5,0)&amp;""</f>
        <v>Based on the response to REQU-06 on the "START HERE" tab, this question does not apply to this product or service.</v>
      </c>
      <c r="F293" s="202"/>
      <c r="G293" s="37" t="str">
        <f>VLOOKUP($A293,Questions!$A$2:$X$333,21,0)&amp;""</f>
        <v>Yes</v>
      </c>
      <c r="H293" s="192"/>
      <c r="I293" s="52" t="str">
        <f>VLOOKUP($A293,Questions!$A$2:$X$333,23,0)&amp;""</f>
        <v>Standard Importance</v>
      </c>
      <c r="J293" s="192"/>
      <c r="K293" s="55" t="b">
        <v>0</v>
      </c>
      <c r="L293" s="1"/>
    </row>
    <row r="294" spans="1:12" s="36" customFormat="1" ht="90" x14ac:dyDescent="0.25">
      <c r="A294" s="25" t="str">
        <f>'Case-Specific'!A70</f>
        <v>PCID-08</v>
      </c>
      <c r="B294" s="26" t="str">
        <f>VLOOKUP($A294,'Case-Specific'!$A$13:$E$85,2,0)&amp;""</f>
        <v>Are you classified as a merchant? If so, what level (1, 2, 3, 4)?</v>
      </c>
      <c r="C294" s="52" t="str">
        <f>VLOOKUP($A294,'Case-Specific'!$A$13:$E$85,3,0)&amp;""</f>
        <v/>
      </c>
      <c r="D294" s="41" t="str">
        <f>IF(LEFT(VLOOKUP($A294,'Case-Specific'!$A$13:$E$85,5,0),21)='Auto Responses'!$A$73,'Auto Responses'!$A$74,VLOOKUP($A294,'Case-Specific'!$A$13:$E$85,4,0))&amp;""</f>
        <v/>
      </c>
      <c r="E294" s="351" t="str">
        <f>VLOOKUP($A294,'Case-Specific'!$A$13:$E$85,5,0)&amp;""</f>
        <v>Based on the response to REQU-06 on the "START HERE" tab, this question does not apply to this product or service.</v>
      </c>
      <c r="F294" s="202"/>
      <c r="G294" s="37" t="str">
        <f>VLOOKUP($A294,Questions!$A$2:$X$333,21,0)&amp;""</f>
        <v>Yes</v>
      </c>
      <c r="H294" s="192"/>
      <c r="I294" s="52" t="str">
        <f>VLOOKUP($A294,Questions!$A$2:$X$333,23,0)&amp;""</f>
        <v>Standard Importance</v>
      </c>
      <c r="J294" s="192"/>
      <c r="K294" s="55" t="b">
        <v>0</v>
      </c>
      <c r="L294" s="1"/>
    </row>
    <row r="295" spans="1:12" s="36" customFormat="1" ht="90" x14ac:dyDescent="0.25">
      <c r="A295" s="25" t="str">
        <f>'Case-Specific'!A71</f>
        <v>PCID-09</v>
      </c>
      <c r="B295" s="26" t="str">
        <f>VLOOKUP($A295,'Case-Specific'!$A$13:$E$85,2,0)&amp;""</f>
        <v>Describe the architecture employed by the system to verify and authorize credit card transactions.</v>
      </c>
      <c r="C295" s="324" t="str">
        <f>VLOOKUP($A295,'Case-Specific'!$A$13:$E$85,3,0)&amp;""</f>
        <v/>
      </c>
      <c r="D295" s="323" t="str">
        <f>IF(LEFT(VLOOKUP($A295,'Case-Specific'!$A$13:$E$85,5,0),21)='Auto Responses'!$A$73,'Auto Responses'!$A$74,VLOOKUP($A295,'Case-Specific'!$A$13:$E$85,4,0))&amp;""</f>
        <v/>
      </c>
      <c r="E295" s="351" t="str">
        <f>VLOOKUP($A295,'Case-Specific'!$A$13:$E$85,5,0)&amp;""</f>
        <v>Based on the response to REQU-06 on the "START HERE" tab, this question does not apply to this product or service.</v>
      </c>
      <c r="F295" s="202"/>
      <c r="G295" s="37" t="str">
        <f>VLOOKUP($A295,Questions!$A$2:$X$333,21,0)&amp;""</f>
        <v>Not scored</v>
      </c>
      <c r="H295" s="192"/>
      <c r="I295" s="52" t="str">
        <f>VLOOKUP($A295,Questions!$A$2:$X$333,23,0)&amp;""</f>
        <v>Minor Importance</v>
      </c>
      <c r="J295" s="192"/>
      <c r="K295" s="55" t="b">
        <v>0</v>
      </c>
      <c r="L295" s="1"/>
    </row>
    <row r="296" spans="1:12" s="36" customFormat="1" ht="90" x14ac:dyDescent="0.25">
      <c r="A296" s="25" t="str">
        <f>'Case-Specific'!A72</f>
        <v>PCID-10</v>
      </c>
      <c r="B296" s="26" t="str">
        <f>VLOOKUP($A296,'Case-Specific'!$A$13:$E$85,2,0)&amp;""</f>
        <v>What payment processors/gateways does the system support?</v>
      </c>
      <c r="C296" s="52" t="str">
        <f>VLOOKUP($A296,'Case-Specific'!$A$13:$E$85,3,0)&amp;""</f>
        <v/>
      </c>
      <c r="D296" s="41" t="str">
        <f>IF(LEFT(VLOOKUP($A296,'Case-Specific'!$A$13:$E$85,5,0),21)='Auto Responses'!$A$73,'Auto Responses'!$A$74,VLOOKUP($A296,'Case-Specific'!$A$13:$E$85,4,0))&amp;""</f>
        <v/>
      </c>
      <c r="E296" s="351" t="str">
        <f>VLOOKUP($A296,'Case-Specific'!$A$13:$E$85,5,0)&amp;""</f>
        <v>Based on the response to REQU-06 on the "START HERE" tab, this question does not apply to this product or service.</v>
      </c>
      <c r="F296" s="202"/>
      <c r="G296" s="37" t="str">
        <f>VLOOKUP($A296,Questions!$A$2:$X$333,21,0)&amp;""</f>
        <v>Yes</v>
      </c>
      <c r="H296" s="192"/>
      <c r="I296" s="52" t="str">
        <f>VLOOKUP($A296,Questions!$A$2:$X$333,23,0)&amp;""</f>
        <v>Minor Importance</v>
      </c>
      <c r="J296" s="192"/>
      <c r="K296" s="55" t="b">
        <v>0</v>
      </c>
      <c r="L296" s="1"/>
    </row>
    <row r="297" spans="1:12" s="36" customFormat="1" ht="90" x14ac:dyDescent="0.25">
      <c r="A297" s="25" t="str">
        <f>'Case-Specific'!A73</f>
        <v>PCID-11</v>
      </c>
      <c r="B297" s="26" t="str">
        <f>VLOOKUP($A297,'Case-Specific'!$A$13:$E$85,2,0)&amp;""</f>
        <v>Can the application be installed in a PCI DSS–compliant manner?</v>
      </c>
      <c r="C297" s="52" t="str">
        <f>VLOOKUP($A297,'Case-Specific'!$A$13:$E$85,3,0)&amp;""</f>
        <v/>
      </c>
      <c r="D297" s="41" t="str">
        <f>IF(LEFT(VLOOKUP($A297,'Case-Specific'!$A$13:$E$85,5,0),21)='Auto Responses'!$A$73,'Auto Responses'!$A$74,VLOOKUP($A297,'Case-Specific'!$A$13:$E$85,4,0))&amp;""</f>
        <v/>
      </c>
      <c r="E297" s="351" t="str">
        <f>VLOOKUP($A297,'Case-Specific'!$A$13:$E$85,5,0)&amp;""</f>
        <v>Based on the response to REQU-06 on the "START HERE" tab, this question does not apply to this product or service.</v>
      </c>
      <c r="F297" s="202"/>
      <c r="G297" s="37" t="str">
        <f>VLOOKUP($A297,Questions!$A$2:$X$333,21,0)&amp;""</f>
        <v>Yes</v>
      </c>
      <c r="H297" s="192"/>
      <c r="I297" s="52" t="str">
        <f>VLOOKUP($A297,Questions!$A$2:$X$333,23,0)&amp;""</f>
        <v>Minor Importance</v>
      </c>
      <c r="J297" s="192"/>
      <c r="K297" s="55" t="b">
        <v>0</v>
      </c>
      <c r="L297" s="1"/>
    </row>
    <row r="298" spans="1:12" s="36" customFormat="1" ht="90" x14ac:dyDescent="0.25">
      <c r="A298" s="25" t="str">
        <f>'Case-Specific'!A74</f>
        <v>PCID-12</v>
      </c>
      <c r="B298" s="26" t="str">
        <f>VLOOKUP($A298,'Case-Specific'!$A$13:$E$85,2,0)&amp;""</f>
        <v>Include documentation describing the system's abilities to comply with the PCI DSS and any features or capabilities of the system that must be added or changed in order to operate in compliance with the standards.</v>
      </c>
      <c r="C298" s="324" t="str">
        <f>VLOOKUP($A298,'Case-Specific'!$A$13:$E$85,3,0)&amp;""</f>
        <v/>
      </c>
      <c r="D298" s="323" t="str">
        <f>IF(LEFT(VLOOKUP($A298,'Case-Specific'!$A$13:$E$85,5,0),21)='Auto Responses'!$A$73,'Auto Responses'!$A$74,VLOOKUP($A298,'Case-Specific'!$A$13:$E$85,4,0))&amp;""</f>
        <v/>
      </c>
      <c r="E298" s="351" t="str">
        <f>VLOOKUP($A298,'Case-Specific'!$A$13:$E$85,5,0)&amp;""</f>
        <v>Based on the response to REQU-06 on the "START HERE" tab, this question does not apply to this product or service.</v>
      </c>
      <c r="F298" s="202"/>
      <c r="G298" s="37" t="str">
        <f>VLOOKUP($A298,Questions!$A$2:$X$333,21,0)&amp;""</f>
        <v>Not scored</v>
      </c>
      <c r="H298" s="192"/>
      <c r="I298" s="52" t="str">
        <f>VLOOKUP($A298,Questions!$A$2:$X$333,23,0)&amp;""</f>
        <v>Minor Importance</v>
      </c>
      <c r="J298" s="192"/>
      <c r="K298" s="55" t="b">
        <v>0</v>
      </c>
      <c r="L298" s="1"/>
    </row>
    <row r="299" spans="1:12" s="1" customFormat="1" ht="17.5" x14ac:dyDescent="0.25">
      <c r="A299" s="70" t="str">
        <f>VLOOKUP(LEFT($A300,4),'Auto Responses'!$N$4:$O$38,2,0)&amp;""</f>
        <v xml:space="preserve"> On-Premises Data Solutions</v>
      </c>
      <c r="B299" s="29"/>
      <c r="C299" s="38"/>
      <c r="D299" s="38"/>
      <c r="E299" s="352"/>
      <c r="F299" s="139" t="s">
        <v>1089</v>
      </c>
      <c r="G299" s="359" t="s">
        <v>925</v>
      </c>
      <c r="H299" s="359" t="s">
        <v>927</v>
      </c>
      <c r="I299" s="359" t="s">
        <v>19</v>
      </c>
      <c r="J299" s="359" t="s">
        <v>912</v>
      </c>
      <c r="K299" s="38"/>
    </row>
    <row r="300" spans="1:12" s="36" customFormat="1" ht="90" x14ac:dyDescent="0.25">
      <c r="A300" s="25" t="str">
        <f>'Case-Specific'!A76</f>
        <v>OPEM-01</v>
      </c>
      <c r="B300" s="26" t="str">
        <f>VLOOKUP($A300,'Case-Specific'!$A$13:$E$85,2,0)&amp;""</f>
        <v>Do you support role-based access control (RBAC) for system administrators?</v>
      </c>
      <c r="C300" s="52" t="str">
        <f>VLOOKUP($A300,'Case-Specific'!$A$13:$E$85,3,0)&amp;""</f>
        <v/>
      </c>
      <c r="D300" s="41" t="str">
        <f>IF(LEFT(VLOOKUP($A300,'Case-Specific'!$A$13:$E$85,5,0),21)='Auto Responses'!$A$73,'Auto Responses'!$A$74,VLOOKUP($A300,'Case-Specific'!$A$13:$E$85,4,0))&amp;""</f>
        <v/>
      </c>
      <c r="E300" s="351" t="str">
        <f>VLOOKUP($A300,'Case-Specific'!$A$13:$E$85,5,0)&amp;""</f>
        <v>Based on the response to REQU-07 on the "START HERE" tab, this question does not apply to this product or service.</v>
      </c>
      <c r="F300" s="202"/>
      <c r="G300" s="37" t="str">
        <f>VLOOKUP($A300,Questions!$A$2:$X$333,21,0)&amp;""</f>
        <v>Yes</v>
      </c>
      <c r="H300" s="192"/>
      <c r="I300" s="52" t="str">
        <f>VLOOKUP($A300,Questions!$A$2:$X$333,23,0)&amp;""</f>
        <v>Standard Importance</v>
      </c>
      <c r="J300" s="192"/>
      <c r="K300" s="55" t="b">
        <v>0</v>
      </c>
      <c r="L300" s="1"/>
    </row>
    <row r="301" spans="1:12" s="36" customFormat="1" ht="90" x14ac:dyDescent="0.25">
      <c r="A301" s="25" t="str">
        <f>'Case-Specific'!A77</f>
        <v>OPEM-02</v>
      </c>
      <c r="B301" s="26" t="str">
        <f>VLOOKUP($A301,'Case-Specific'!$A$13:$E$85,2,0)&amp;""</f>
        <v>Can your employees access customer systems remotely?</v>
      </c>
      <c r="C301" s="52" t="str">
        <f>VLOOKUP($A301,'Case-Specific'!$A$13:$E$85,3,0)&amp;""</f>
        <v/>
      </c>
      <c r="D301" s="41" t="str">
        <f>IF(LEFT(VLOOKUP($A301,'Case-Specific'!$A$13:$E$85,5,0),21)='Auto Responses'!$A$73,'Auto Responses'!$A$74,VLOOKUP($A301,'Case-Specific'!$A$13:$E$85,4,0))&amp;""</f>
        <v/>
      </c>
      <c r="E301" s="351" t="str">
        <f>VLOOKUP($A301,'Case-Specific'!$A$13:$E$85,5,0)&amp;""</f>
        <v>Based on the response to REQU-07 on the "START HERE" tab, this question does not apply to this product or service.</v>
      </c>
      <c r="F301" s="202"/>
      <c r="G301" s="37" t="str">
        <f>VLOOKUP($A301,Questions!$A$2:$X$333,21,0)&amp;""</f>
        <v>No</v>
      </c>
      <c r="H301" s="192"/>
      <c r="I301" s="52" t="str">
        <f>VLOOKUP($A301,Questions!$A$2:$X$333,23,0)&amp;""</f>
        <v>Standard Importance</v>
      </c>
      <c r="J301" s="192"/>
      <c r="K301" s="55" t="b">
        <v>0</v>
      </c>
      <c r="L301" s="1"/>
    </row>
    <row r="302" spans="1:12" s="36" customFormat="1" ht="90" x14ac:dyDescent="0.25">
      <c r="A302" s="25" t="str">
        <f>'Case-Specific'!A78</f>
        <v>OPEM-03</v>
      </c>
      <c r="B302" s="26" t="str">
        <f>VLOOKUP($A302,'Case-Specific'!$A$13:$E$85,2,0)&amp;""</f>
        <v>Can you provide overall system and/or application architecture diagrams including a full description of the data communications architecture for all components of the system?</v>
      </c>
      <c r="C302" s="52" t="str">
        <f>VLOOKUP($A302,'Case-Specific'!$A$13:$E$85,3,0)&amp;""</f>
        <v/>
      </c>
      <c r="D302" s="41" t="str">
        <f>IF(LEFT(VLOOKUP($A302,'Case-Specific'!$A$13:$E$85,5,0),21)='Auto Responses'!$A$73,'Auto Responses'!$A$74,VLOOKUP($A302,'Case-Specific'!$A$13:$E$85,4,0))&amp;""</f>
        <v/>
      </c>
      <c r="E302" s="351" t="str">
        <f>VLOOKUP($A302,'Case-Specific'!$A$13:$E$85,5,0)&amp;""</f>
        <v>Based on the response to REQU-07 on the "START HERE" tab, this question does not apply to this product or service.</v>
      </c>
      <c r="F302" s="202"/>
      <c r="G302" s="37" t="str">
        <f>VLOOKUP($A302,Questions!$A$2:$X$333,21,0)&amp;""</f>
        <v>Yes</v>
      </c>
      <c r="H302" s="192"/>
      <c r="I302" s="52" t="str">
        <f>VLOOKUP($A302,Questions!$A$2:$X$333,23,0)&amp;""</f>
        <v>Standard Importance</v>
      </c>
      <c r="J302" s="192"/>
      <c r="K302" s="55" t="b">
        <v>0</v>
      </c>
      <c r="L302" s="1"/>
    </row>
    <row r="303" spans="1:12" s="36" customFormat="1" ht="90" x14ac:dyDescent="0.25">
      <c r="A303" s="25" t="str">
        <f>'Case-Specific'!A79</f>
        <v>OPEM-04</v>
      </c>
      <c r="B303" s="26" t="str">
        <f>VLOOKUP($A303,'Case-Specific'!$A$13:$E$85,2,0)&amp;""</f>
        <v>Do you require remote management of the system?</v>
      </c>
      <c r="C303" s="52" t="str">
        <f>VLOOKUP($A303,'Case-Specific'!$A$13:$E$85,3,0)&amp;""</f>
        <v/>
      </c>
      <c r="D303" s="41" t="str">
        <f>IF(LEFT(VLOOKUP($A303,'Case-Specific'!$A$13:$E$85,5,0),21)='Auto Responses'!$A$73,'Auto Responses'!$A$74,VLOOKUP($A303,'Case-Specific'!$A$13:$E$85,4,0))&amp;""</f>
        <v/>
      </c>
      <c r="E303" s="351" t="str">
        <f>VLOOKUP($A303,'Case-Specific'!$A$13:$E$85,5,0)&amp;""</f>
        <v>Based on the response to REQU-07 on the "START HERE" tab, this question does not apply to this product or service.</v>
      </c>
      <c r="F303" s="202"/>
      <c r="G303" s="37" t="str">
        <f>VLOOKUP($A303,Questions!$A$2:$X$333,21,0)&amp;""</f>
        <v>No</v>
      </c>
      <c r="H303" s="192"/>
      <c r="I303" s="52" t="str">
        <f>VLOOKUP($A303,Questions!$A$2:$X$333,23,0)&amp;""</f>
        <v>Standard Importance</v>
      </c>
      <c r="J303" s="192"/>
      <c r="K303" s="55" t="b">
        <v>0</v>
      </c>
      <c r="L303" s="1"/>
    </row>
    <row r="304" spans="1:12" s="36" customFormat="1" ht="90" x14ac:dyDescent="0.25">
      <c r="A304" s="25" t="str">
        <f>'Case-Specific'!A80</f>
        <v>OPEM-05</v>
      </c>
      <c r="B304" s="26" t="str">
        <f>VLOOKUP($A304,'Case-Specific'!$A$13:$E$85,2,0)&amp;""</f>
        <v>If you answered "yes" to OPEM-04, are your remote actions and changes logged or otherwise visible to the campus?</v>
      </c>
      <c r="C304" s="52" t="str">
        <f>VLOOKUP($A304,'Case-Specific'!$A$13:$E$85,3,0)&amp;""</f>
        <v/>
      </c>
      <c r="D304" s="41" t="str">
        <f>IF(LEFT(VLOOKUP($A304,'Case-Specific'!$A$13:$E$85,5,0),21)='Auto Responses'!$A$73,'Auto Responses'!$A$74,VLOOKUP($A304,'Case-Specific'!$A$13:$E$85,4,0))&amp;""</f>
        <v/>
      </c>
      <c r="E304" s="351" t="str">
        <f>VLOOKUP($A304,'Case-Specific'!$A$13:$E$85,5,0)&amp;""</f>
        <v>Based on the response to REQU-07 on the "START HERE" tab, this question does not apply to this product or service.</v>
      </c>
      <c r="F304" s="202"/>
      <c r="G304" s="37" t="str">
        <f>VLOOKUP($A304,Questions!$A$2:$X$333,21,0)&amp;""</f>
        <v>Yes</v>
      </c>
      <c r="H304" s="192"/>
      <c r="I304" s="52" t="str">
        <f>VLOOKUP($A304,Questions!$A$2:$X$333,23,0)&amp;""</f>
        <v>Standard Importance</v>
      </c>
      <c r="J304" s="192"/>
      <c r="K304" s="55" t="b">
        <v>0</v>
      </c>
      <c r="L304" s="1"/>
    </row>
    <row r="305" spans="1:12" s="36" customFormat="1" ht="90" x14ac:dyDescent="0.25">
      <c r="A305" s="25" t="str">
        <f>'Case-Specific'!A81</f>
        <v>OPEM-06</v>
      </c>
      <c r="B305" s="26" t="str">
        <f>VLOOKUP($A305,'Case-Specific'!$A$13:$E$85,2,0)&amp;""</f>
        <v>If you maintain remote access to the system, will you handle data in a FERPA-compliant manner?</v>
      </c>
      <c r="C305" s="52" t="str">
        <f>VLOOKUP($A305,'Case-Specific'!$A$13:$E$85,3,0)&amp;""</f>
        <v/>
      </c>
      <c r="D305" s="41" t="str">
        <f>IF(LEFT(VLOOKUP($A305,'Case-Specific'!$A$13:$E$85,5,0),21)='Auto Responses'!$A$73,'Auto Responses'!$A$74,VLOOKUP($A305,'Case-Specific'!$A$13:$E$85,4,0))&amp;""</f>
        <v/>
      </c>
      <c r="E305" s="351" t="str">
        <f>VLOOKUP($A305,'Case-Specific'!$A$13:$E$85,5,0)&amp;""</f>
        <v>Based on the response to REQU-07 on the "START HERE" tab, this question does not apply to this product or service.</v>
      </c>
      <c r="F305" s="202"/>
      <c r="G305" s="37" t="str">
        <f>VLOOKUP($A305,Questions!$A$2:$X$333,21,0)&amp;""</f>
        <v>Yes</v>
      </c>
      <c r="H305" s="192"/>
      <c r="I305" s="52" t="str">
        <f>VLOOKUP($A305,Questions!$A$2:$X$333,23,0)&amp;""</f>
        <v>Standard Importance</v>
      </c>
      <c r="J305" s="192"/>
      <c r="K305" s="55" t="b">
        <v>0</v>
      </c>
      <c r="L305" s="1"/>
    </row>
    <row r="306" spans="1:12" s="36" customFormat="1" ht="90" x14ac:dyDescent="0.25">
      <c r="A306" s="25" t="str">
        <f>'Case-Specific'!A82</f>
        <v>OPEM-07</v>
      </c>
      <c r="B306" s="26" t="str">
        <f>VLOOKUP($A306,'Case-Specific'!$A$13:$E$85,2,0)&amp;""</f>
        <v>Do you support campus status monitoring through SNMPv3 or other means?</v>
      </c>
      <c r="C306" s="52" t="str">
        <f>VLOOKUP($A306,'Case-Specific'!$A$13:$E$85,3,0)&amp;""</f>
        <v/>
      </c>
      <c r="D306" s="41" t="str">
        <f>IF(LEFT(VLOOKUP($A306,'Case-Specific'!$A$13:$E$85,5,0),21)='Auto Responses'!$A$73,'Auto Responses'!$A$74,VLOOKUP($A306,'Case-Specific'!$A$13:$E$85,4,0))&amp;""</f>
        <v/>
      </c>
      <c r="E306" s="353" t="str">
        <f>VLOOKUP($A306,'Case-Specific'!$A$13:$E$85,5,0)&amp;""</f>
        <v>Based on the response to REQU-07 on the "START HERE" tab, this question does not apply to this product or service.</v>
      </c>
      <c r="F306" s="202"/>
      <c r="G306" s="37" t="str">
        <f>VLOOKUP($A306,Questions!$A$2:$X$333,21,0)&amp;""</f>
        <v>Yes</v>
      </c>
      <c r="H306" s="192"/>
      <c r="I306" s="52" t="str">
        <f>VLOOKUP($A306,Questions!$A$2:$X$333,23,0)&amp;""</f>
        <v>Standard Importance</v>
      </c>
      <c r="J306" s="192"/>
      <c r="K306" s="55" t="b">
        <v>0</v>
      </c>
      <c r="L306" s="1"/>
    </row>
    <row r="307" spans="1:12" s="36" customFormat="1" ht="90" x14ac:dyDescent="0.25">
      <c r="A307" s="25" t="str">
        <f>'Case-Specific'!A83</f>
        <v>OPEM-08</v>
      </c>
      <c r="B307" s="26" t="str">
        <f>VLOOKUP($A307,'Case-Specific'!$A$13:$E$85,2,0)&amp;""</f>
        <v>Describe or provide a reference to any other safeguards used to monitor for malicious activity.</v>
      </c>
      <c r="C307" s="324" t="str">
        <f>VLOOKUP($A307,'Case-Specific'!$A$13:$E$85,3,0)&amp;""</f>
        <v/>
      </c>
      <c r="D307" s="325" t="str">
        <f>IF(LEFT(VLOOKUP($A307,'Case-Specific'!$A$13:$E$85,5,0),21)='Auto Responses'!$A$73,'Auto Responses'!$A$74,VLOOKUP($A307,'Case-Specific'!$A$13:$E$85,4,0))&amp;""</f>
        <v/>
      </c>
      <c r="E307" s="353" t="str">
        <f>VLOOKUP($A307,'Case-Specific'!$A$13:$E$85,5,0)&amp;""</f>
        <v>Based on the response to REQU-07 on the "START HERE" tab, this question does not apply to this product or service.</v>
      </c>
      <c r="F307" s="202"/>
      <c r="G307" s="37" t="str">
        <f>VLOOKUP($A307,Questions!$A$2:$X$333,21,0)&amp;""</f>
        <v>Not scored</v>
      </c>
      <c r="H307" s="192"/>
      <c r="I307" s="52" t="str">
        <f>VLOOKUP($A307,Questions!$A$2:$X$333,23,0)&amp;""</f>
        <v>Standard Importance</v>
      </c>
      <c r="J307" s="192"/>
      <c r="K307" s="55" t="b">
        <v>0</v>
      </c>
      <c r="L307" s="1"/>
    </row>
    <row r="308" spans="1:12" s="36" customFormat="1" ht="90" x14ac:dyDescent="0.25">
      <c r="A308" s="25" t="str">
        <f>'Case-Specific'!A84</f>
        <v>OPEM-09</v>
      </c>
      <c r="B308" s="26" t="str">
        <f>VLOOKUP($A308,'Case-Specific'!$A$13:$E$85,2,0)&amp;""</f>
        <v>Describe how long your organization has conducted business in this area.</v>
      </c>
      <c r="C308" s="324" t="str">
        <f>VLOOKUP($A308,'Case-Specific'!$A$13:$E$85,3,0)&amp;""</f>
        <v/>
      </c>
      <c r="D308" s="325" t="str">
        <f>IF(LEFT(VLOOKUP($A308,'Case-Specific'!$A$13:$E$85,5,0),21)='Auto Responses'!$A$73,'Auto Responses'!$A$74,VLOOKUP($A308,'Case-Specific'!$A$13:$E$85,4,0))&amp;""</f>
        <v/>
      </c>
      <c r="E308" s="353" t="str">
        <f>VLOOKUP($A308,'Case-Specific'!$A$13:$E$85,5,0)&amp;""</f>
        <v>Based on the response to REQU-07 on the "START HERE" tab, this question does not apply to this product or service.</v>
      </c>
      <c r="F308" s="202"/>
      <c r="G308" s="37" t="str">
        <f>VLOOKUP($A308,Questions!$A$2:$X$333,21,0)&amp;""</f>
        <v>Not scored</v>
      </c>
      <c r="H308" s="192"/>
      <c r="I308" s="52" t="str">
        <f>VLOOKUP($A308,Questions!$A$2:$X$333,23,0)&amp;""</f>
        <v>Minor Importance</v>
      </c>
      <c r="J308" s="192"/>
      <c r="K308" s="55" t="b">
        <v>0</v>
      </c>
      <c r="L308" s="1"/>
    </row>
    <row r="309" spans="1:12" s="36" customFormat="1" ht="90.5" thickBot="1" x14ac:dyDescent="0.3">
      <c r="A309" s="25" t="str">
        <f>'Case-Specific'!A85</f>
        <v>OPEM-10</v>
      </c>
      <c r="B309" s="26" t="str">
        <f>VLOOKUP($A309,'Case-Specific'!$A$13:$E$85,2,0)&amp;""</f>
        <v>Do you have existing higher education customers?</v>
      </c>
      <c r="C309" s="52" t="str">
        <f>VLOOKUP($A309,'Case-Specific'!$A$13:$E$85,3,0)&amp;""</f>
        <v/>
      </c>
      <c r="D309" s="41" t="str">
        <f>IF(LEFT(VLOOKUP($A309,'Case-Specific'!$A$13:$E$85,5,0),21)='Auto Responses'!$A$73,'Auto Responses'!$A$74,VLOOKUP($A309,'Case-Specific'!$A$13:$E$85,4,0))&amp;""</f>
        <v/>
      </c>
      <c r="E309" s="353" t="str">
        <f>VLOOKUP($A309,'Case-Specific'!$A$13:$E$85,5,0)&amp;""</f>
        <v>Based on the response to REQU-07 on the "START HERE" tab, this question does not apply to this product or service.</v>
      </c>
      <c r="F309" s="202"/>
      <c r="G309" s="37" t="str">
        <f>VLOOKUP($A309,Questions!$A$2:$X$333,21,0)&amp;""</f>
        <v>Yes</v>
      </c>
      <c r="H309" s="192"/>
      <c r="I309" s="52" t="str">
        <f>VLOOKUP($A309,Questions!$A$2:$X$333,23,0)&amp;""</f>
        <v>Minor Importance</v>
      </c>
      <c r="J309" s="192"/>
      <c r="K309" s="56" t="b">
        <v>0</v>
      </c>
      <c r="L309" s="1"/>
    </row>
    <row r="310" spans="1:12" s="1" customFormat="1" ht="17.5" x14ac:dyDescent="0.25">
      <c r="A310" s="70" t="str">
        <f>VLOOKUP(LEFT($A311,4),'Auto Responses'!$N$4:$O$38,2,0)&amp;""</f>
        <v xml:space="preserve"> AI Qualifying Questions</v>
      </c>
      <c r="B310" s="29"/>
      <c r="C310" s="38"/>
      <c r="D310" s="38"/>
      <c r="E310" s="352"/>
      <c r="F310" s="139" t="s">
        <v>1089</v>
      </c>
      <c r="G310" s="359" t="s">
        <v>925</v>
      </c>
      <c r="H310" s="359" t="s">
        <v>927</v>
      </c>
      <c r="I310" s="359" t="s">
        <v>19</v>
      </c>
      <c r="J310" s="359" t="s">
        <v>912</v>
      </c>
      <c r="K310" s="38"/>
    </row>
    <row r="311" spans="1:12" s="36" customFormat="1" ht="90" x14ac:dyDescent="0.25">
      <c r="A311" s="25" t="str">
        <f>AI!$A$20</f>
        <v>AIQU-01</v>
      </c>
      <c r="B311" s="26" t="str">
        <f>VLOOKUP($A311,AI!$A$13:$E$55,2,0)&amp;""</f>
        <v>Does your solution leverage machine learning (ML) or do you plan to do so in the next 12 months?</v>
      </c>
      <c r="C311" s="52" t="str">
        <f>VLOOKUP($A311,AI!$A$13:$E$55,3,0)&amp;""</f>
        <v/>
      </c>
      <c r="D311" s="41" t="str">
        <f>IF(LEFT(VLOOKUP($A311,AI!$A$13:$E$55,5,0),21)='Auto Responses'!$A$73,'Auto Responses'!$A$74,VLOOKUP($A311,AI!$A$13:$E$55,4,0))&amp;""</f>
        <v/>
      </c>
      <c r="E311" s="351" t="str">
        <f>VLOOKUP($A311,AI!$A$13:$E$55,5,0)&amp;""</f>
        <v>Based on the response to REQU-04 on the "START HERE" tab, this question does not apply to this product or service.</v>
      </c>
      <c r="F311" s="202"/>
      <c r="G311" s="37" t="str">
        <f>VLOOKUP($A311,Questions!$A$2:$X$333,21,0)&amp;""</f>
        <v>Not scored</v>
      </c>
      <c r="H311" s="192"/>
      <c r="I311" s="52" t="str">
        <f>VLOOKUP($A311,Questions!$A$2:$X$333,23,0)&amp;""</f>
        <v/>
      </c>
      <c r="J311" s="192"/>
      <c r="K311" s="55" t="b">
        <v>0</v>
      </c>
      <c r="L311" s="1"/>
    </row>
    <row r="312" spans="1:12" s="36" customFormat="1" ht="90" x14ac:dyDescent="0.25">
      <c r="A312" s="25" t="str">
        <f>AI!$A$21</f>
        <v>AIQU-02</v>
      </c>
      <c r="B312" s="26" t="str">
        <f>VLOOKUP($A312,AI!$A$13:$E$55,2,0)&amp;""</f>
        <v>Does your solution leverage a large language model (LLM) or do you plan to do so in the next 12 months?</v>
      </c>
      <c r="C312" s="52" t="str">
        <f>VLOOKUP($A312,AI!$A$13:$E$55,3,0)&amp;""</f>
        <v/>
      </c>
      <c r="D312" s="41" t="str">
        <f>IF(LEFT(VLOOKUP($A312,AI!$A$13:$E$55,5,0),21)='Auto Responses'!$A$73,'Auto Responses'!$A$74,VLOOKUP($A312,AI!$A$13:$E$55,4,0))&amp;""</f>
        <v/>
      </c>
      <c r="E312" s="351" t="str">
        <f>VLOOKUP($A312,AI!$A$13:$E$55,5,0)&amp;""</f>
        <v>Based on the response to REQU-04 on the "START HERE" tab, this question does not apply to this product or service.</v>
      </c>
      <c r="F312" s="202"/>
      <c r="G312" s="37" t="str">
        <f>VLOOKUP($A312,Questions!$A$2:$X$333,21,0)&amp;""</f>
        <v>Not scored</v>
      </c>
      <c r="H312" s="192"/>
      <c r="I312" s="52" t="str">
        <f>VLOOKUP($A312,Questions!$A$2:$X$333,23,0)&amp;""</f>
        <v/>
      </c>
      <c r="J312" s="192"/>
      <c r="K312" s="55" t="b">
        <v>0</v>
      </c>
      <c r="L312" s="1"/>
    </row>
    <row r="313" spans="1:12" s="1" customFormat="1" ht="17.5" x14ac:dyDescent="0.25">
      <c r="A313" s="70" t="str">
        <f>VLOOKUP(LEFT($A314,4),'Auto Responses'!$N$4:$O$38,2,0)&amp;""</f>
        <v xml:space="preserve"> General AI Questions</v>
      </c>
      <c r="B313" s="29"/>
      <c r="C313" s="38"/>
      <c r="D313" s="38"/>
      <c r="E313" s="352"/>
      <c r="F313" s="139" t="s">
        <v>1089</v>
      </c>
      <c r="G313" s="359" t="s">
        <v>925</v>
      </c>
      <c r="H313" s="359" t="s">
        <v>927</v>
      </c>
      <c r="I313" s="359" t="s">
        <v>19</v>
      </c>
      <c r="J313" s="359" t="s">
        <v>912</v>
      </c>
      <c r="K313" s="38"/>
    </row>
    <row r="314" spans="1:12" s="36" customFormat="1" ht="90" x14ac:dyDescent="0.25">
      <c r="A314" s="25" t="str">
        <f>AI!$A$23</f>
        <v>AIGN-01</v>
      </c>
      <c r="B314" s="26" t="str">
        <f>VLOOKUP($A314,AI!$A$13:$E$55,2,0)&amp;""</f>
        <v>Does your solution have an AI risk model when developing or implementing your solution's AI model?*</v>
      </c>
      <c r="C314" s="52" t="str">
        <f>VLOOKUP($A314,AI!$A$13:$E$55,3,0)&amp;""</f>
        <v/>
      </c>
      <c r="D314" s="41" t="str">
        <f>IF(LEFT(VLOOKUP($A314,AI!$A$13:$E$55,5,0),21)='Auto Responses'!$A$73,'Auto Responses'!$A$74,VLOOKUP($A314,AI!$A$13:$E$55,4,0))&amp;""</f>
        <v/>
      </c>
      <c r="E314" s="351" t="str">
        <f>VLOOKUP($A314,AI!$A$13:$E$55,5,0)&amp;""</f>
        <v>Based on the response to REQU-04 on the "START HERE" tab, this question does not apply to this product or service.</v>
      </c>
      <c r="F314" s="202"/>
      <c r="G314" s="37" t="str">
        <f>VLOOKUP($A314,Questions!$A$2:$X$333,21,0)&amp;""</f>
        <v>Yes</v>
      </c>
      <c r="H314" s="192"/>
      <c r="I314" s="52" t="str">
        <f>VLOOKUP($A314,Questions!$A$2:$X$333,23,0)&amp;""</f>
        <v>Critical Importance</v>
      </c>
      <c r="J314" s="192"/>
      <c r="K314" s="55" t="b">
        <v>0</v>
      </c>
      <c r="L314" s="1"/>
    </row>
    <row r="315" spans="1:12" s="36" customFormat="1" ht="90" x14ac:dyDescent="0.25">
      <c r="A315" s="25" t="str">
        <f>AI!$A$24</f>
        <v>AIGN-02</v>
      </c>
      <c r="B315" s="26" t="str">
        <f>VLOOKUP($A315,AI!$A$13:$E$55,2,0)&amp;""</f>
        <v>Can your solution's AI features be disabled by tenant and/or user?*</v>
      </c>
      <c r="C315" s="52" t="str">
        <f>VLOOKUP($A315,AI!$A$13:$E$55,3,0)&amp;""</f>
        <v/>
      </c>
      <c r="D315" s="41" t="str">
        <f>IF(LEFT(VLOOKUP($A315,AI!$A$13:$E$55,5,0),21)='Auto Responses'!$A$73,'Auto Responses'!$A$74,VLOOKUP($A315,AI!$A$13:$E$55,4,0))&amp;""</f>
        <v/>
      </c>
      <c r="E315" s="351" t="str">
        <f>VLOOKUP($A315,AI!$A$13:$E$55,5,0)&amp;""</f>
        <v>Based on the response to REQU-04 on the "START HERE" tab, this question does not apply to this product or service.</v>
      </c>
      <c r="F315" s="202"/>
      <c r="G315" s="37" t="str">
        <f>VLOOKUP($A315,Questions!$A$2:$X$333,21,0)&amp;""</f>
        <v>Yes</v>
      </c>
      <c r="H315" s="192"/>
      <c r="I315" s="52" t="str">
        <f>VLOOKUP($A315,Questions!$A$2:$X$333,23,0)&amp;""</f>
        <v>Critical Importance</v>
      </c>
      <c r="J315" s="192"/>
      <c r="K315" s="55" t="b">
        <v>0</v>
      </c>
      <c r="L315" s="1"/>
    </row>
    <row r="316" spans="1:12" s="36" customFormat="1" ht="90" x14ac:dyDescent="0.25">
      <c r="A316" s="25" t="str">
        <f>AI!$A$25</f>
        <v>AIGN-03</v>
      </c>
      <c r="B316" s="26" t="str">
        <f>VLOOKUP($A316,AI!$A$13:$E$55,2,0)&amp;""</f>
        <v>Have your staff completed responsible AI training?*</v>
      </c>
      <c r="C316" s="52" t="str">
        <f>VLOOKUP($A316,AI!$A$13:$E$55,3,0)&amp;""</f>
        <v/>
      </c>
      <c r="D316" s="41" t="str">
        <f>IF(LEFT(VLOOKUP($A316,AI!$A$13:$E$55,5,0),21)='Auto Responses'!$A$73,'Auto Responses'!$A$74,VLOOKUP($A316,AI!$A$13:$E$55,4,0))&amp;""</f>
        <v/>
      </c>
      <c r="E316" s="351" t="str">
        <f>VLOOKUP($A316,AI!$A$13:$E$55,5,0)&amp;""</f>
        <v>Based on the response to REQU-04 on the "START HERE" tab, this question does not apply to this product or service.</v>
      </c>
      <c r="F316" s="202"/>
      <c r="G316" s="37" t="str">
        <f>VLOOKUP($A316,Questions!$A$2:$X$333,21,0)&amp;""</f>
        <v>Yes</v>
      </c>
      <c r="H316" s="192"/>
      <c r="I316" s="52" t="str">
        <f>VLOOKUP($A316,Questions!$A$2:$X$333,23,0)&amp;""</f>
        <v>Critical Importance</v>
      </c>
      <c r="J316" s="192"/>
      <c r="K316" s="55" t="b">
        <v>0</v>
      </c>
      <c r="L316" s="1"/>
    </row>
    <row r="317" spans="1:12" s="36" customFormat="1" ht="90" x14ac:dyDescent="0.25">
      <c r="A317" s="25" t="str">
        <f>AI!$A$26</f>
        <v>AIGN-04</v>
      </c>
      <c r="B317" s="26" t="str">
        <f>VLOOKUP($A317,AI!$A$13:$E$55,2,0)&amp;""</f>
        <v>Please describe the capabilities of your solution's AI features.</v>
      </c>
      <c r="C317" s="324" t="str">
        <f>VLOOKUP($A317,AI!$A$13:$E$55,3,0)&amp;""</f>
        <v/>
      </c>
      <c r="D317" s="325" t="str">
        <f>IF(LEFT(VLOOKUP($A317,AI!$A$13:$E$55,5,0),21)='Auto Responses'!$A$73,'Auto Responses'!$A$74,VLOOKUP($A317,AI!$A$13:$E$55,4,0))&amp;""</f>
        <v/>
      </c>
      <c r="E317" s="351" t="str">
        <f>VLOOKUP($A317,AI!$A$13:$E$55,5,0)&amp;""</f>
        <v>Based on the response to REQU-04 on the "START HERE" tab, this question does not apply to this product or service.</v>
      </c>
      <c r="F317" s="202"/>
      <c r="G317" s="37" t="str">
        <f>VLOOKUP($A317,Questions!$A$2:$X$333,21,0)&amp;""</f>
        <v>Not scored</v>
      </c>
      <c r="H317" s="192"/>
      <c r="I317" s="52" t="str">
        <f>VLOOKUP($A317,Questions!$A$2:$X$333,23,0)&amp;""</f>
        <v>Standard Importance</v>
      </c>
      <c r="J317" s="192"/>
      <c r="K317" s="55" t="b">
        <v>0</v>
      </c>
      <c r="L317" s="1"/>
    </row>
    <row r="318" spans="1:12" s="36" customFormat="1" ht="90" x14ac:dyDescent="0.25">
      <c r="A318" s="25" t="str">
        <f>AI!$A$27</f>
        <v>AIGN-05</v>
      </c>
      <c r="B318" s="26" t="str">
        <f>VLOOKUP($A318,AI!$A$13:$E$55,2,0)&amp;""</f>
        <v>Does your solution support business rules to protect sensitive data from being ingested by the AI model?</v>
      </c>
      <c r="C318" s="52" t="str">
        <f>VLOOKUP($A318,AI!$A$13:$E$55,3,0)&amp;""</f>
        <v/>
      </c>
      <c r="D318" s="41" t="str">
        <f>IF(LEFT(VLOOKUP($A318,AI!$A$13:$E$55,5,0),21)='Auto Responses'!$A$73,'Auto Responses'!$A$74,VLOOKUP($A318,AI!$A$13:$E$55,4,0))&amp;""</f>
        <v/>
      </c>
      <c r="E318" s="351" t="str">
        <f>VLOOKUP($A318,AI!$A$13:$E$55,5,0)&amp;""</f>
        <v>Based on the response to REQU-04 on the "START HERE" tab, this question does not apply to this product or service.</v>
      </c>
      <c r="F318" s="202"/>
      <c r="G318" s="37" t="str">
        <f>VLOOKUP($A318,Questions!$A$2:$X$333,21,0)&amp;""</f>
        <v>Yes</v>
      </c>
      <c r="H318" s="192"/>
      <c r="I318" s="52" t="str">
        <f>VLOOKUP($A318,Questions!$A$2:$X$333,23,0)&amp;""</f>
        <v>Standard Importance</v>
      </c>
      <c r="J318" s="192"/>
      <c r="K318" s="55" t="b">
        <v>0</v>
      </c>
      <c r="L318" s="1"/>
    </row>
    <row r="319" spans="1:12" s="1" customFormat="1" ht="17.5" x14ac:dyDescent="0.25">
      <c r="A319" s="70" t="str">
        <f>VLOOKUP(LEFT($A320,4),'Auto Responses'!$N$4:$O$38,2,0)&amp;""</f>
        <v xml:space="preserve"> AI Policy</v>
      </c>
      <c r="B319" s="29"/>
      <c r="C319" s="38"/>
      <c r="D319" s="38"/>
      <c r="E319" s="352"/>
      <c r="F319" s="139" t="s">
        <v>1089</v>
      </c>
      <c r="G319" s="359" t="s">
        <v>925</v>
      </c>
      <c r="H319" s="359" t="s">
        <v>927</v>
      </c>
      <c r="I319" s="359" t="s">
        <v>19</v>
      </c>
      <c r="J319" s="359" t="s">
        <v>912</v>
      </c>
      <c r="K319" s="38"/>
    </row>
    <row r="320" spans="1:12" s="36" customFormat="1" ht="90" x14ac:dyDescent="0.25">
      <c r="A320" s="25" t="str">
        <f>AI!$A$29</f>
        <v>AIPL-01</v>
      </c>
      <c r="B320" s="26" t="str">
        <f>VLOOKUP($A320,AI!$A$13:$E$55,2,0)&amp;""</f>
        <v>Are your AI developer's policies, processes, procedures, and practices across the organization related to the mapping, measuring, and managing of AI risks conspicuously posted, unambiguous, and implemented effectively?*</v>
      </c>
      <c r="C320" s="52" t="str">
        <f>VLOOKUP($A320,AI!$A$13:$E$55,3,0)&amp;""</f>
        <v/>
      </c>
      <c r="D320" s="41" t="str">
        <f>IF(LEFT(VLOOKUP($A320,AI!$A$13:$E$55,5,0),21)='Auto Responses'!$A$73,'Auto Responses'!$A$74,VLOOKUP($A320,AI!$A$13:$E$55,4,0))&amp;""</f>
        <v/>
      </c>
      <c r="E320" s="351" t="str">
        <f>VLOOKUP($A320,AI!$A$13:$E$55,5,0)&amp;""</f>
        <v>Based on the response to REQU-04 on the "START HERE" tab, this question does not apply to this product or service.</v>
      </c>
      <c r="F320" s="202"/>
      <c r="G320" s="37" t="str">
        <f>VLOOKUP($A320,Questions!$A$2:$X$333,21,0)&amp;""</f>
        <v>Yes</v>
      </c>
      <c r="H320" s="192"/>
      <c r="I320" s="52" t="str">
        <f>VLOOKUP($A320,Questions!$A$2:$X$333,23,0)&amp;""</f>
        <v>Critical Importance</v>
      </c>
      <c r="J320" s="192"/>
      <c r="K320" s="55" t="b">
        <v>0</v>
      </c>
      <c r="L320" s="1"/>
    </row>
    <row r="321" spans="1:12" s="36" customFormat="1" ht="90" x14ac:dyDescent="0.25">
      <c r="A321" s="25" t="str">
        <f>AI!$A$30</f>
        <v>AIPL-02</v>
      </c>
      <c r="B321" s="26" t="str">
        <f>VLOOKUP($A321,AI!$A$13:$E$55,2,0)&amp;""</f>
        <v>Have you identified and measured AI risks?*</v>
      </c>
      <c r="C321" s="52" t="str">
        <f>VLOOKUP($A321,AI!$A$13:$E$55,3,0)&amp;""</f>
        <v/>
      </c>
      <c r="D321" s="41" t="str">
        <f>IF(LEFT(VLOOKUP($A321,AI!$A$13:$E$55,5,0),21)='Auto Responses'!$A$73,'Auto Responses'!$A$74,VLOOKUP($A321,AI!$A$13:$E$55,4,0))&amp;""</f>
        <v/>
      </c>
      <c r="E321" s="351" t="str">
        <f>VLOOKUP($A321,AI!$A$13:$E$55,5,0)&amp;""</f>
        <v>Based on the response to REQU-04 on the "START HERE" tab, this question does not apply to this product or service.</v>
      </c>
      <c r="F321" s="202"/>
      <c r="G321" s="37" t="str">
        <f>VLOOKUP($A321,Questions!$A$2:$X$333,21,0)&amp;""</f>
        <v>Yes</v>
      </c>
      <c r="H321" s="192"/>
      <c r="I321" s="52" t="str">
        <f>VLOOKUP($A321,Questions!$A$2:$X$333,23,0)&amp;""</f>
        <v>Critical Importance</v>
      </c>
      <c r="J321" s="192"/>
      <c r="K321" s="55" t="b">
        <v>0</v>
      </c>
      <c r="L321" s="1"/>
    </row>
    <row r="322" spans="1:12" s="36" customFormat="1" ht="90" x14ac:dyDescent="0.25">
      <c r="A322" s="25" t="str">
        <f>AI!$A$31</f>
        <v>AIPL-03</v>
      </c>
      <c r="B322" s="26" t="str">
        <f>VLOOKUP($A322,AI!$A$13:$E$55,2,0)&amp;""</f>
        <v>In the event of an incident, can your solution's AI features be disabled in a timely manner?*</v>
      </c>
      <c r="C322" s="52" t="str">
        <f>VLOOKUP($A322,AI!$A$13:$E$55,3,0)&amp;""</f>
        <v/>
      </c>
      <c r="D322" s="41" t="str">
        <f>IF(LEFT(VLOOKUP($A322,AI!$A$13:$E$55,5,0),21)='Auto Responses'!$A$73,'Auto Responses'!$A$74,VLOOKUP($A322,AI!$A$13:$E$55,4,0))&amp;""</f>
        <v/>
      </c>
      <c r="E322" s="351" t="str">
        <f>VLOOKUP($A322,AI!$A$13:$E$55,5,0)&amp;""</f>
        <v>Based on the response to REQU-04 on the "START HERE" tab, this question does not apply to this product or service.</v>
      </c>
      <c r="F322" s="202"/>
      <c r="G322" s="37" t="str">
        <f>VLOOKUP($A322,Questions!$A$2:$X$333,21,0)&amp;""</f>
        <v>Yes</v>
      </c>
      <c r="H322" s="192"/>
      <c r="I322" s="52" t="str">
        <f>VLOOKUP($A322,Questions!$A$2:$X$333,23,0)&amp;""</f>
        <v>Critical Importance</v>
      </c>
      <c r="J322" s="192"/>
      <c r="K322" s="55" t="b">
        <v>0</v>
      </c>
      <c r="L322" s="1"/>
    </row>
    <row r="323" spans="1:12" s="36" customFormat="1" ht="90" x14ac:dyDescent="0.25">
      <c r="A323" s="25" t="str">
        <f>AI!$A$32</f>
        <v>AIPL-04</v>
      </c>
      <c r="B323" s="26" t="str">
        <f>VLOOKUP($A323,AI!$A$13:$E$55,2,0)&amp;""</f>
        <v>If disabled because of an incident, can your solution's AI features be re-enabled in a timely manner?*</v>
      </c>
      <c r="C323" s="52" t="str">
        <f>VLOOKUP($A323,AI!$A$13:$E$55,3,0)&amp;""</f>
        <v/>
      </c>
      <c r="D323" s="41" t="str">
        <f>IF(LEFT(VLOOKUP($A323,AI!$A$13:$E$55,5,0),21)='Auto Responses'!$A$73,'Auto Responses'!$A$74,VLOOKUP($A323,AI!$A$13:$E$55,4,0))&amp;""</f>
        <v/>
      </c>
      <c r="E323" s="351" t="str">
        <f>VLOOKUP($A323,AI!$A$13:$E$55,5,0)&amp;""</f>
        <v>Based on the response to REQU-04 on the "START HERE" tab, this question does not apply to this product or service.</v>
      </c>
      <c r="F323" s="202"/>
      <c r="G323" s="37" t="str">
        <f>VLOOKUP($A323,Questions!$A$2:$X$333,21,0)&amp;""</f>
        <v>Yes</v>
      </c>
      <c r="H323" s="192"/>
      <c r="I323" s="52" t="str">
        <f>VLOOKUP($A323,Questions!$A$2:$X$333,23,0)&amp;""</f>
        <v>Critical Importance</v>
      </c>
      <c r="J323" s="192"/>
      <c r="K323" s="55" t="b">
        <v>0</v>
      </c>
      <c r="L323" s="1"/>
    </row>
    <row r="324" spans="1:12" s="36" customFormat="1" ht="90" x14ac:dyDescent="0.25">
      <c r="A324" s="25" t="str">
        <f>AI!$A$33</f>
        <v>AIPL-05</v>
      </c>
      <c r="B324" s="26" t="str">
        <f>VLOOKUP($A324,AI!$A$13:$E$55,2,0)&amp;""</f>
        <v>Do you have documented technical and procedural processes to address potential negative impacts of AI as described by the AI Risk Management Framework (RMF)?</v>
      </c>
      <c r="C324" s="52" t="str">
        <f>VLOOKUP($A324,AI!$A$13:$E$55,3,0)&amp;""</f>
        <v/>
      </c>
      <c r="D324" s="41" t="str">
        <f>IF(LEFT(VLOOKUP($A324,AI!$A$13:$E$55,5,0),21)='Auto Responses'!$A$73,'Auto Responses'!$A$74,VLOOKUP($A324,AI!$A$13:$E$55,4,0))&amp;""</f>
        <v/>
      </c>
      <c r="E324" s="351" t="str">
        <f>VLOOKUP($A324,AI!$A$13:$E$55,5,0)&amp;""</f>
        <v>Based on the response to REQU-04 on the "START HERE" tab, this question does not apply to this product or service.</v>
      </c>
      <c r="F324" s="202"/>
      <c r="G324" s="37" t="str">
        <f>VLOOKUP($A324,Questions!$A$2:$X$333,21,0)&amp;""</f>
        <v>Yes</v>
      </c>
      <c r="H324" s="192"/>
      <c r="I324" s="52" t="str">
        <f>VLOOKUP($A324,Questions!$A$2:$X$333,23,0)&amp;""</f>
        <v>Minor Importance</v>
      </c>
      <c r="J324" s="192"/>
      <c r="K324" s="55" t="b">
        <v>0</v>
      </c>
      <c r="L324" s="1"/>
    </row>
    <row r="325" spans="1:12" s="1" customFormat="1" ht="17.5" x14ac:dyDescent="0.25">
      <c r="A325" s="70" t="str">
        <f>VLOOKUP(LEFT($A326,4),'Auto Responses'!$N$4:$O$38,2,0)&amp;""</f>
        <v xml:space="preserve"> AI Data Security</v>
      </c>
      <c r="B325" s="29"/>
      <c r="C325" s="38"/>
      <c r="D325" s="38"/>
      <c r="E325" s="352"/>
      <c r="F325" s="139" t="s">
        <v>1089</v>
      </c>
      <c r="G325" s="359" t="s">
        <v>925</v>
      </c>
      <c r="H325" s="359" t="s">
        <v>927</v>
      </c>
      <c r="I325" s="359" t="s">
        <v>19</v>
      </c>
      <c r="J325" s="359" t="s">
        <v>912</v>
      </c>
      <c r="K325" s="38"/>
    </row>
    <row r="326" spans="1:12" s="36" customFormat="1" ht="90" x14ac:dyDescent="0.25">
      <c r="A326" s="25" t="str">
        <f>AI!$A$35</f>
        <v>AISC-01</v>
      </c>
      <c r="B326" s="26" t="str">
        <f>VLOOKUP($A326,AI!$A$13:$E$55,2,0)&amp;""</f>
        <v>If sensitive data is introduced to your solution's AI model, can the data be removed from the AI model by request?*</v>
      </c>
      <c r="C326" s="52" t="str">
        <f>VLOOKUP($A326,AI!$A$13:$E$55,3,0)&amp;""</f>
        <v/>
      </c>
      <c r="D326" s="41" t="str">
        <f>IF(LEFT(VLOOKUP($A326,AI!$A$13:$E$55,5,0),21)='Auto Responses'!$A$73,'Auto Responses'!$A$74,VLOOKUP($A326,AI!$A$13:$E$55,4,0))&amp;""</f>
        <v/>
      </c>
      <c r="E326" s="351" t="str">
        <f>VLOOKUP($A326,AI!$A$13:$E$55,5,0)&amp;""</f>
        <v>Based on the response to REQU-04 on the "START HERE" tab, this question does not apply to this product or service.</v>
      </c>
      <c r="F326" s="202"/>
      <c r="G326" s="37" t="str">
        <f>VLOOKUP($A326,Questions!$A$2:$X$333,21,0)&amp;""</f>
        <v>Yes</v>
      </c>
      <c r="H326" s="192"/>
      <c r="I326" s="52" t="str">
        <f>VLOOKUP($A326,Questions!$A$2:$X$333,23,0)&amp;""</f>
        <v>Critical Importance</v>
      </c>
      <c r="J326" s="192"/>
      <c r="K326" s="55" t="b">
        <v>0</v>
      </c>
      <c r="L326" s="1"/>
    </row>
    <row r="327" spans="1:12" s="36" customFormat="1" ht="90" x14ac:dyDescent="0.25">
      <c r="A327" s="25" t="str">
        <f>AI!$A$36</f>
        <v>AISC-02</v>
      </c>
      <c r="B327" s="26" t="str">
        <f>VLOOKUP($A327,AI!$A$13:$E$55,2,0)&amp;""</f>
        <v>Is user input data used to influence your solution's AI model?*</v>
      </c>
      <c r="C327" s="52" t="str">
        <f>VLOOKUP($A327,AI!$A$13:$E$55,3,0)&amp;""</f>
        <v/>
      </c>
      <c r="D327" s="41" t="str">
        <f>IF(LEFT(VLOOKUP($A327,AI!$A$13:$E$55,5,0),21)='Auto Responses'!$A$73,'Auto Responses'!$A$74,VLOOKUP($A327,AI!$A$13:$E$55,4,0))&amp;""</f>
        <v/>
      </c>
      <c r="E327" s="351" t="str">
        <f>VLOOKUP($A327,AI!$A$13:$E$55,5,0)&amp;""</f>
        <v>Based on the response to REQU-04 on the "START HERE" tab, this question does not apply to this product or service.</v>
      </c>
      <c r="F327" s="202"/>
      <c r="G327" s="37" t="str">
        <f>VLOOKUP($A327,Questions!$A$2:$X$333,21,0)&amp;""</f>
        <v>No</v>
      </c>
      <c r="H327" s="192"/>
      <c r="I327" s="52" t="str">
        <f>VLOOKUP($A327,Questions!$A$2:$X$333,23,0)&amp;""</f>
        <v>Critical Importance</v>
      </c>
      <c r="J327" s="192"/>
      <c r="K327" s="55" t="b">
        <v>0</v>
      </c>
      <c r="L327" s="1"/>
    </row>
    <row r="328" spans="1:12" s="36" customFormat="1" ht="90" x14ac:dyDescent="0.25">
      <c r="A328" s="25" t="str">
        <f>AI!$A$37</f>
        <v>AISC-03</v>
      </c>
      <c r="B328" s="26" t="str">
        <f>VLOOKUP($A328,AI!$A$13:$E$55,2,0)&amp;""</f>
        <v>Do you provide logging for your solution's AI feature(s) that includes user, date, and action taken?*</v>
      </c>
      <c r="C328" s="52" t="str">
        <f>VLOOKUP($A328,AI!$A$13:$E$55,3,0)&amp;""</f>
        <v/>
      </c>
      <c r="D328" s="41" t="str">
        <f>IF(LEFT(VLOOKUP($A328,AI!$A$13:$E$55,5,0),21)='Auto Responses'!$A$73,'Auto Responses'!$A$74,VLOOKUP($A328,AI!$A$13:$E$55,4,0))&amp;""</f>
        <v/>
      </c>
      <c r="E328" s="351" t="str">
        <f>VLOOKUP($A328,AI!$A$13:$E$55,5,0)&amp;""</f>
        <v>Based on the response to REQU-04 on the "START HERE" tab, this question does not apply to this product or service.</v>
      </c>
      <c r="F328" s="202"/>
      <c r="G328" s="37" t="str">
        <f>VLOOKUP($A328,Questions!$A$2:$X$333,21,0)&amp;""</f>
        <v>Yes</v>
      </c>
      <c r="H328" s="192"/>
      <c r="I328" s="52" t="str">
        <f>VLOOKUP($A328,Questions!$A$2:$X$333,23,0)&amp;""</f>
        <v>Critical Importance</v>
      </c>
      <c r="J328" s="192"/>
      <c r="K328" s="55" t="b">
        <v>0</v>
      </c>
      <c r="L328" s="1"/>
    </row>
    <row r="329" spans="1:12" s="36" customFormat="1" ht="90" x14ac:dyDescent="0.25">
      <c r="A329" s="25" t="str">
        <f>AI!$A$38</f>
        <v>AISC-04</v>
      </c>
      <c r="B329" s="26" t="str">
        <f>VLOOKUP($A329,AI!$A$13:$E$55,2,0)&amp;""</f>
        <v>Please describe how you validate user inputs.</v>
      </c>
      <c r="C329" s="324" t="str">
        <f>VLOOKUP($A329,AI!$A$13:$E$55,3,0)&amp;""</f>
        <v/>
      </c>
      <c r="D329" s="323" t="str">
        <f>IF(LEFT(VLOOKUP($A329,AI!$A$13:$E$55,5,0),21)='Auto Responses'!$A$73,'Auto Responses'!$A$74,VLOOKUP($A329,AI!$A$13:$E$55,4,0))&amp;""</f>
        <v/>
      </c>
      <c r="E329" s="351" t="str">
        <f>VLOOKUP($A329,AI!$A$13:$E$55,5,0)&amp;""</f>
        <v>Based on the response to REQU-04 on the "START HERE" tab, this question does not apply to this product or service.</v>
      </c>
      <c r="F329" s="202"/>
      <c r="G329" s="37" t="str">
        <f>VLOOKUP($A329,Questions!$A$2:$X$333,21,0)&amp;""</f>
        <v>Not scored</v>
      </c>
      <c r="H329" s="192"/>
      <c r="I329" s="52" t="str">
        <f>VLOOKUP($A329,Questions!$A$2:$X$333,23,0)&amp;""</f>
        <v>Standard Importance</v>
      </c>
      <c r="J329" s="192"/>
      <c r="K329" s="55" t="b">
        <v>0</v>
      </c>
      <c r="L329" s="1"/>
    </row>
    <row r="330" spans="1:12" s="36" customFormat="1" ht="90" x14ac:dyDescent="0.25">
      <c r="A330" s="25" t="str">
        <f>AI!$A$39</f>
        <v>AISC-05</v>
      </c>
      <c r="B330" s="26" t="str">
        <f>VLOOKUP($A330,AI!$A$13:$E$55,2,0)&amp;""</f>
        <v>Do you plan for and mitigate supply-chain risk related to your AI features?</v>
      </c>
      <c r="C330" s="52" t="str">
        <f>VLOOKUP($A330,AI!$A$13:$E$55,3,0)&amp;""</f>
        <v/>
      </c>
      <c r="D330" s="41" t="str">
        <f>IF(LEFT(VLOOKUP($A330,AI!$A$13:$E$55,5,0),21)='Auto Responses'!$A$73,'Auto Responses'!$A$74,VLOOKUP($A330,AI!$A$13:$E$55,4,0))&amp;""</f>
        <v/>
      </c>
      <c r="E330" s="351" t="str">
        <f>VLOOKUP($A330,AI!$A$13:$E$55,5,0)&amp;""</f>
        <v>Based on the response to REQU-04 on the "START HERE" tab, this question does not apply to this product or service.</v>
      </c>
      <c r="F330" s="202"/>
      <c r="G330" s="37" t="str">
        <f>VLOOKUP($A330,Questions!$A$2:$X$333,21,0)&amp;""</f>
        <v>Yes</v>
      </c>
      <c r="H330" s="192"/>
      <c r="I330" s="52" t="str">
        <f>VLOOKUP($A330,Questions!$A$2:$X$333,23,0)&amp;""</f>
        <v>Standard Importance</v>
      </c>
      <c r="J330" s="192"/>
      <c r="K330" s="55" t="b">
        <v>0</v>
      </c>
      <c r="L330" s="1"/>
    </row>
    <row r="331" spans="1:12" s="1" customFormat="1" ht="17.5" x14ac:dyDescent="0.25">
      <c r="A331" s="70" t="str">
        <f>VLOOKUP(LEFT($A332,4),'Auto Responses'!$N$4:$O$38,2,0)&amp;""</f>
        <v xml:space="preserve"> AI Machine Learning</v>
      </c>
      <c r="B331" s="29"/>
      <c r="C331" s="38"/>
      <c r="D331" s="38"/>
      <c r="E331" s="352"/>
      <c r="F331" s="139" t="s">
        <v>1089</v>
      </c>
      <c r="G331" s="359" t="s">
        <v>925</v>
      </c>
      <c r="H331" s="359" t="s">
        <v>927</v>
      </c>
      <c r="I331" s="359" t="s">
        <v>19</v>
      </c>
      <c r="J331" s="359" t="s">
        <v>912</v>
      </c>
      <c r="K331" s="38"/>
    </row>
    <row r="332" spans="1:12" s="36" customFormat="1" ht="90" x14ac:dyDescent="0.25">
      <c r="A332" s="25" t="str">
        <f>AI!$A$41</f>
        <v>AIML-01</v>
      </c>
      <c r="B332" s="26" t="str">
        <f>VLOOKUP($A332,AI!$A$13:$E$55,2,0)&amp;""</f>
        <v>Do you separate ML training data from your ML solution data?*</v>
      </c>
      <c r="C332" s="52" t="str">
        <f>VLOOKUP($A332,AI!$A$13:$E$55,3,0)&amp;""</f>
        <v/>
      </c>
      <c r="D332" s="41" t="str">
        <f>IF(LEFT(VLOOKUP($A332,AI!$A$13:$E$55,5,0),21)='Auto Responses'!$A$73,'Auto Responses'!$A$74,VLOOKUP($A332,AI!$A$13:$E$55,4,0))&amp;""</f>
        <v/>
      </c>
      <c r="E332" s="351" t="str">
        <f>VLOOKUP($A332,AI!$A$13:$E$55,5,0)&amp;""</f>
        <v>Based on the response to REQU-04 on the "START HERE" tab, this question does not apply to this product or service.</v>
      </c>
      <c r="F332" s="202"/>
      <c r="G332" s="37" t="str">
        <f>VLOOKUP($A332,Questions!$A$2:$X$333,21,0)&amp;""</f>
        <v>Yes</v>
      </c>
      <c r="H332" s="192"/>
      <c r="I332" s="52" t="str">
        <f>VLOOKUP($A332,Questions!$A$2:$X$333,23,0)&amp;""</f>
        <v>Critical Importance</v>
      </c>
      <c r="J332" s="192"/>
      <c r="K332" s="55" t="b">
        <v>0</v>
      </c>
      <c r="L332" s="1"/>
    </row>
    <row r="333" spans="1:12" s="36" customFormat="1" ht="90" x14ac:dyDescent="0.25">
      <c r="A333" s="25" t="str">
        <f>AI!$A$42</f>
        <v>AIML-02</v>
      </c>
      <c r="B333" s="26" t="str">
        <f>VLOOKUP($A333,AI!$A$13:$E$55,2,0)&amp;""</f>
        <v>Do you authenticate and verify your ML model's feedback?*</v>
      </c>
      <c r="C333" s="52" t="str">
        <f>VLOOKUP($A333,AI!$A$13:$E$55,3,0)&amp;""</f>
        <v/>
      </c>
      <c r="D333" s="41" t="str">
        <f>IF(LEFT(VLOOKUP($A333,AI!$A$13:$E$55,5,0),21)='Auto Responses'!$A$73,'Auto Responses'!$A$74,VLOOKUP($A333,AI!$A$13:$E$55,4,0))&amp;""</f>
        <v/>
      </c>
      <c r="E333" s="351" t="str">
        <f>VLOOKUP($A333,AI!$A$13:$E$55,5,0)&amp;""</f>
        <v>Based on the response to REQU-04 on the "START HERE" tab, this question does not apply to this product or service.</v>
      </c>
      <c r="F333" s="202"/>
      <c r="G333" s="37" t="str">
        <f>VLOOKUP($A333,Questions!$A$2:$X$333,21,0)&amp;""</f>
        <v>Yes</v>
      </c>
      <c r="H333" s="192"/>
      <c r="I333" s="52" t="str">
        <f>VLOOKUP($A333,Questions!$A$2:$X$333,23,0)&amp;""</f>
        <v>Critical Importance</v>
      </c>
      <c r="J333" s="192"/>
      <c r="K333" s="55" t="b">
        <v>0</v>
      </c>
      <c r="L333" s="1"/>
    </row>
    <row r="334" spans="1:12" s="36" customFormat="1" ht="90" x14ac:dyDescent="0.25">
      <c r="A334" s="25" t="str">
        <f>AI!$A$43</f>
        <v>AIML-03</v>
      </c>
      <c r="B334" s="26" t="str">
        <f>VLOOKUP($A334,AI!$A$13:$E$55,2,0)&amp;""</f>
        <v>Is your ML training data vetted, validated, and verified before training the solution's AI model?</v>
      </c>
      <c r="C334" s="52" t="str">
        <f>VLOOKUP($A334,AI!$A$13:$E$55,3,0)&amp;""</f>
        <v/>
      </c>
      <c r="D334" s="41" t="str">
        <f>IF(LEFT(VLOOKUP($A334,AI!$A$13:$E$55,5,0),21)='Auto Responses'!$A$73,'Auto Responses'!$A$74,VLOOKUP($A334,AI!$A$13:$E$55,4,0))&amp;""</f>
        <v/>
      </c>
      <c r="E334" s="351" t="str">
        <f>VLOOKUP($A334,AI!$A$13:$E$55,5,0)&amp;""</f>
        <v>Based on the response to REQU-04 on the "START HERE" tab, this question does not apply to this product or service.</v>
      </c>
      <c r="F334" s="202"/>
      <c r="G334" s="37" t="str">
        <f>VLOOKUP($A334,Questions!$A$2:$X$333,21,0)&amp;""</f>
        <v>Yes</v>
      </c>
      <c r="H334" s="192"/>
      <c r="I334" s="52" t="str">
        <f>VLOOKUP($A334,Questions!$A$2:$X$333,23,0)&amp;""</f>
        <v>Standard Importance</v>
      </c>
      <c r="J334" s="192"/>
      <c r="K334" s="55" t="b">
        <v>0</v>
      </c>
      <c r="L334" s="1"/>
    </row>
    <row r="335" spans="1:12" s="36" customFormat="1" ht="90" x14ac:dyDescent="0.25">
      <c r="A335" s="25" t="str">
        <f>AI!$A$44</f>
        <v>AIML-04</v>
      </c>
      <c r="B335" s="26" t="str">
        <f>VLOOKUP($A335,AI!$A$13:$E$55,2,0)&amp;""</f>
        <v>Is your ML training data monitored and audited?</v>
      </c>
      <c r="C335" s="52" t="str">
        <f>VLOOKUP($A335,AI!$A$13:$E$55,3,0)&amp;""</f>
        <v/>
      </c>
      <c r="D335" s="41" t="str">
        <f>IF(LEFT(VLOOKUP($A335,AI!$A$13:$E$55,5,0),21)='Auto Responses'!$A$73,'Auto Responses'!$A$74,VLOOKUP($A335,AI!$A$13:$E$55,4,0))&amp;""</f>
        <v/>
      </c>
      <c r="E335" s="351" t="str">
        <f>VLOOKUP($A335,AI!$A$13:$E$55,5,0)&amp;""</f>
        <v>Based on the response to REQU-04 on the "START HERE" tab, this question does not apply to this product or service.</v>
      </c>
      <c r="F335" s="202"/>
      <c r="G335" s="37" t="str">
        <f>VLOOKUP($A335,Questions!$A$2:$X$333,21,0)&amp;""</f>
        <v>Yes</v>
      </c>
      <c r="H335" s="192"/>
      <c r="I335" s="52" t="str">
        <f>VLOOKUP($A335,Questions!$A$2:$X$333,23,0)&amp;""</f>
        <v>Standard Importance</v>
      </c>
      <c r="J335" s="192"/>
      <c r="K335" s="55" t="b">
        <v>0</v>
      </c>
      <c r="L335" s="1"/>
    </row>
    <row r="336" spans="1:12" s="36" customFormat="1" ht="90" x14ac:dyDescent="0.25">
      <c r="A336" s="25" t="str">
        <f>AI!$A$45</f>
        <v>AIML-05</v>
      </c>
      <c r="B336" s="26" t="str">
        <f>VLOOKUP($A336,AI!$A$13:$E$55,2,0)&amp;""</f>
        <v>Have you limited access to your ML training data to only staff with an explicit business need?</v>
      </c>
      <c r="C336" s="52" t="str">
        <f>VLOOKUP($A336,AI!$A$13:$E$55,3,0)&amp;""</f>
        <v/>
      </c>
      <c r="D336" s="41" t="str">
        <f>IF(LEFT(VLOOKUP($A336,AI!$A$13:$E$55,5,0),21)='Auto Responses'!$A$73,'Auto Responses'!$A$74,VLOOKUP($A336,AI!$A$13:$E$55,4,0))&amp;""</f>
        <v/>
      </c>
      <c r="E336" s="351" t="str">
        <f>VLOOKUP($A336,AI!$A$13:$E$55,5,0)&amp;""</f>
        <v>Based on the response to REQU-04 on the "START HERE" tab, this question does not apply to this product or service.</v>
      </c>
      <c r="F336" s="202"/>
      <c r="G336" s="37" t="str">
        <f>VLOOKUP($A336,Questions!$A$2:$X$333,21,0)&amp;""</f>
        <v>Yes</v>
      </c>
      <c r="H336" s="192"/>
      <c r="I336" s="52" t="str">
        <f>VLOOKUP($A336,Questions!$A$2:$X$333,23,0)&amp;""</f>
        <v>Minor Importance</v>
      </c>
      <c r="J336" s="192"/>
      <c r="K336" s="55" t="b">
        <v>0</v>
      </c>
      <c r="L336" s="1"/>
    </row>
    <row r="337" spans="1:14" s="36" customFormat="1" ht="90" x14ac:dyDescent="0.25">
      <c r="A337" s="25" t="str">
        <f>AI!$A$46</f>
        <v>AIML-06</v>
      </c>
      <c r="B337" s="26" t="str">
        <f>VLOOKUP($A337,AI!$A$13:$E$55,2,0)&amp;""</f>
        <v>Have you implemented adversarial training or other model defense mechanisms to protect your ML-related features?</v>
      </c>
      <c r="C337" s="52" t="str">
        <f>VLOOKUP($A337,AI!$A$13:$E$55,3,0)&amp;""</f>
        <v/>
      </c>
      <c r="D337" s="41" t="str">
        <f>IF(LEFT(VLOOKUP($A337,AI!$A$13:$E$55,5,0),21)='Auto Responses'!$A$73,'Auto Responses'!$A$74,VLOOKUP($A337,AI!$A$13:$E$55,4,0))&amp;""</f>
        <v/>
      </c>
      <c r="E337" s="351" t="str">
        <f>VLOOKUP($A337,AI!$A$13:$E$55,5,0)&amp;""</f>
        <v>Based on the response to REQU-04 on the "START HERE" tab, this question does not apply to this product or service.</v>
      </c>
      <c r="F337" s="202"/>
      <c r="G337" s="37" t="str">
        <f>VLOOKUP($A337,Questions!$A$2:$X$333,21,0)&amp;""</f>
        <v>Yes</v>
      </c>
      <c r="H337" s="192"/>
      <c r="I337" s="52" t="str">
        <f>VLOOKUP($A337,Questions!$A$2:$X$333,23,0)&amp;""</f>
        <v>Minor Importance</v>
      </c>
      <c r="J337" s="192"/>
      <c r="K337" s="55" t="b">
        <v>0</v>
      </c>
      <c r="L337" s="1"/>
    </row>
    <row r="338" spans="1:14" s="36" customFormat="1" ht="90" x14ac:dyDescent="0.25">
      <c r="A338" s="25" t="str">
        <f>AI!$A$47</f>
        <v>AIML-07</v>
      </c>
      <c r="B338" s="26" t="str">
        <f>VLOOKUP($A338,AI!$A$13:$E$55,2,0)&amp;""</f>
        <v>Do you make your ML model transparent through documentation and log inputs and outputs?</v>
      </c>
      <c r="C338" s="52" t="str">
        <f>VLOOKUP($A338,AI!$A$13:$E$55,3,0)&amp;""</f>
        <v/>
      </c>
      <c r="D338" s="41" t="str">
        <f>IF(LEFT(VLOOKUP($A338,AI!$A$13:$E$55,5,0),21)='Auto Responses'!$A$73,'Auto Responses'!$A$74,VLOOKUP($A338,AI!$A$13:$E$55,4,0))&amp;""</f>
        <v/>
      </c>
      <c r="E338" s="351" t="str">
        <f>VLOOKUP($A338,AI!$A$13:$E$55,5,0)&amp;""</f>
        <v>Based on the response to REQU-04 on the "START HERE" tab, this question does not apply to this product or service.</v>
      </c>
      <c r="F338" s="202"/>
      <c r="G338" s="37" t="str">
        <f>VLOOKUP($A338,Questions!$A$2:$X$333,21,0)&amp;""</f>
        <v>Yes</v>
      </c>
      <c r="H338" s="192"/>
      <c r="I338" s="52" t="str">
        <f>VLOOKUP($A338,Questions!$A$2:$X$333,23,0)&amp;""</f>
        <v>Minor Importance</v>
      </c>
      <c r="J338" s="192"/>
      <c r="K338" s="55" t="b">
        <v>0</v>
      </c>
      <c r="L338" s="1"/>
    </row>
    <row r="339" spans="1:14" s="36" customFormat="1" ht="90" x14ac:dyDescent="0.25">
      <c r="A339" s="25" t="str">
        <f>AI!$A$48</f>
        <v>AIML-08</v>
      </c>
      <c r="B339" s="26" t="str">
        <f>VLOOKUP($A339,AI!$A$13:$E$55,2,0)&amp;""</f>
        <v>Do you watermark your ML training data?</v>
      </c>
      <c r="C339" s="52" t="str">
        <f>VLOOKUP($A339,AI!$A$13:$E$55,3,0)&amp;""</f>
        <v/>
      </c>
      <c r="D339" s="41" t="str">
        <f>IF(LEFT(VLOOKUP($A339,AI!$A$13:$E$55,5,0),21)='Auto Responses'!$A$73,'Auto Responses'!$A$74,VLOOKUP($A339,AI!$A$13:$E$55,4,0))&amp;""</f>
        <v/>
      </c>
      <c r="E339" s="351" t="str">
        <f>VLOOKUP($A339,AI!$A$13:$E$55,5,0)&amp;""</f>
        <v>Based on the response to REQU-04 on the "START HERE" tab, this question does not apply to this product or service.</v>
      </c>
      <c r="F339" s="202"/>
      <c r="G339" s="37" t="str">
        <f>VLOOKUP($A339,Questions!$A$2:$X$333,21,0)&amp;""</f>
        <v>Yes</v>
      </c>
      <c r="H339" s="192"/>
      <c r="I339" s="52" t="str">
        <f>VLOOKUP($A339,Questions!$A$2:$X$333,23,0)&amp;""</f>
        <v>Minor Importance</v>
      </c>
      <c r="J339" s="192"/>
      <c r="K339" s="55" t="b">
        <v>0</v>
      </c>
      <c r="L339" s="1"/>
    </row>
    <row r="340" spans="1:14" s="1" customFormat="1" ht="17.5" x14ac:dyDescent="0.25">
      <c r="A340" s="70" t="str">
        <f>VLOOKUP(LEFT($A341,4),'Auto Responses'!$N$4:$O$38,2,0)&amp;""</f>
        <v xml:space="preserve"> AI Large Language Model (LLM)</v>
      </c>
      <c r="B340" s="29"/>
      <c r="C340" s="138"/>
      <c r="D340" s="38"/>
      <c r="E340" s="355"/>
      <c r="F340" s="139" t="s">
        <v>1089</v>
      </c>
      <c r="G340" s="359" t="s">
        <v>925</v>
      </c>
      <c r="H340" s="359" t="s">
        <v>927</v>
      </c>
      <c r="I340" s="359" t="s">
        <v>19</v>
      </c>
      <c r="J340" s="359" t="s">
        <v>912</v>
      </c>
      <c r="K340" s="38"/>
    </row>
    <row r="341" spans="1:14" s="36" customFormat="1" ht="90" x14ac:dyDescent="0.25">
      <c r="A341" s="25" t="str">
        <f>AI!$A$50</f>
        <v>AILM-01</v>
      </c>
      <c r="B341" s="26" t="str">
        <f>VLOOKUP($A341,AI!$A$13:$E$55,2,0)&amp;""</f>
        <v>Do you limit your solution's LLM privileges by default?*</v>
      </c>
      <c r="C341" s="52" t="str">
        <f>VLOOKUP($A341,AI!$A$13:$E$55,3,0)&amp;""</f>
        <v/>
      </c>
      <c r="D341" s="41" t="str">
        <f>IF(LEFT(VLOOKUP($A341,AI!$A$13:$E$55,5,0),21)='Auto Responses'!$A$73,'Auto Responses'!$A$74,VLOOKUP($A341,AI!$A$13:$E$55,4,0))&amp;""</f>
        <v/>
      </c>
      <c r="E341" s="351" t="str">
        <f>VLOOKUP($A341,AI!$A$13:$E$55,5,0)&amp;""</f>
        <v>Based on the response to REQU-04 on the "START HERE" tab, this question does not apply to this product or service.</v>
      </c>
      <c r="F341" s="202"/>
      <c r="G341" s="37" t="str">
        <f>VLOOKUP($A341,Questions!$A$2:$X$333,21,0)&amp;""</f>
        <v>Yes</v>
      </c>
      <c r="H341" s="192"/>
      <c r="I341" s="52" t="str">
        <f>VLOOKUP($A341,Questions!$A$2:$X$333,23,0)&amp;""</f>
        <v>Critical Importance</v>
      </c>
      <c r="J341" s="192"/>
      <c r="K341" s="55" t="b">
        <v>0</v>
      </c>
      <c r="L341" s="1"/>
    </row>
    <row r="342" spans="1:14" s="36" customFormat="1" ht="90" x14ac:dyDescent="0.25">
      <c r="A342" s="25" t="str">
        <f>AI!$A$51</f>
        <v>AILM-02</v>
      </c>
      <c r="B342" s="26" t="str">
        <f>VLOOKUP($A342,AI!$A$13:$E$55,2,0)&amp;""</f>
        <v>Is your LLM training data vetted, validated, and verified before training the solution's AI model?*</v>
      </c>
      <c r="C342" s="52" t="str">
        <f>VLOOKUP($A342,AI!$A$13:$E$55,3,0)&amp;""</f>
        <v/>
      </c>
      <c r="D342" s="41" t="str">
        <f>IF(LEFT(VLOOKUP($A342,AI!$A$13:$E$55,5,0),21)='Auto Responses'!$A$73,'Auto Responses'!$A$74,VLOOKUP($A342,AI!$A$13:$E$55,4,0))&amp;""</f>
        <v/>
      </c>
      <c r="E342" s="351" t="str">
        <f>VLOOKUP($A342,AI!$A$13:$E$55,5,0)&amp;""</f>
        <v>Based on the response to REQU-04 on the "START HERE" tab, this question does not apply to this product or service.</v>
      </c>
      <c r="F342" s="202"/>
      <c r="G342" s="37" t="str">
        <f>VLOOKUP($A342,Questions!$A$2:$X$333,21,0)&amp;""</f>
        <v>Yes</v>
      </c>
      <c r="H342" s="192"/>
      <c r="I342" s="52" t="str">
        <f>VLOOKUP($A342,Questions!$A$2:$X$333,23,0)&amp;""</f>
        <v>Critical Importance</v>
      </c>
      <c r="J342" s="192"/>
      <c r="K342" s="55" t="b">
        <v>0</v>
      </c>
      <c r="L342" s="1"/>
    </row>
    <row r="343" spans="1:14" s="36" customFormat="1" ht="90" x14ac:dyDescent="0.25">
      <c r="A343" s="25" t="str">
        <f>AI!$A$52</f>
        <v>AILM-03</v>
      </c>
      <c r="B343" s="26" t="str">
        <f>VLOOKUP($A343,AI!$A$13:$E$55,2,0)&amp;""</f>
        <v>Do any actions taken by your solution's LLM features or plugins require human intervention?*</v>
      </c>
      <c r="C343" s="52" t="str">
        <f>VLOOKUP($A343,AI!$A$13:$E$55,3,0)&amp;""</f>
        <v/>
      </c>
      <c r="D343" s="41" t="str">
        <f>IF(LEFT(VLOOKUP($A343,AI!$A$13:$E$55,5,0),21)='Auto Responses'!$A$73,'Auto Responses'!$A$74,VLOOKUP($A343,AI!$A$13:$E$55,4,0))&amp;""</f>
        <v/>
      </c>
      <c r="E343" s="351" t="str">
        <f>VLOOKUP($A343,AI!$A$13:$E$55,5,0)&amp;""</f>
        <v>Based on the response to REQU-04 on the "START HERE" tab, this question does not apply to this product or service.</v>
      </c>
      <c r="F343" s="202"/>
      <c r="G343" s="37" t="str">
        <f>VLOOKUP($A343,Questions!$A$2:$X$333,21,0)&amp;""</f>
        <v>Yes</v>
      </c>
      <c r="H343" s="192"/>
      <c r="I343" s="52" t="str">
        <f>VLOOKUP($A343,Questions!$A$2:$X$333,23,0)&amp;""</f>
        <v>Critical Importance</v>
      </c>
      <c r="J343" s="192"/>
      <c r="K343" s="55" t="b">
        <v>0</v>
      </c>
      <c r="L343" s="1"/>
    </row>
    <row r="344" spans="1:14" s="36" customFormat="1" ht="90" x14ac:dyDescent="0.25">
      <c r="A344" s="25" t="str">
        <f>AI!$A$53</f>
        <v>AILM-04</v>
      </c>
      <c r="B344" s="26" t="str">
        <f>VLOOKUP($A344,AI!$A$13:$E$55,2,0)&amp;""</f>
        <v>Do you limit multiple LLM model plugins being called as part of a single input?*</v>
      </c>
      <c r="C344" s="52" t="str">
        <f>VLOOKUP($A344,AI!$A$13:$E$55,3,0)&amp;""</f>
        <v/>
      </c>
      <c r="D344" s="41" t="str">
        <f>IF(LEFT(VLOOKUP($A344,AI!$A$13:$E$55,5,0),21)='Auto Responses'!$A$73,'Auto Responses'!$A$74,VLOOKUP($A344,AI!$A$13:$E$55,4,0))&amp;""</f>
        <v/>
      </c>
      <c r="E344" s="351" t="str">
        <f>VLOOKUP($A344,AI!$A$13:$E$55,5,0)&amp;""</f>
        <v>Based on the response to REQU-04 on the "START HERE" tab, this question does not apply to this product or service.</v>
      </c>
      <c r="F344" s="202"/>
      <c r="G344" s="37" t="str">
        <f>VLOOKUP($A344,Questions!$A$2:$X$333,21,0)&amp;""</f>
        <v>Yes</v>
      </c>
      <c r="H344" s="192"/>
      <c r="I344" s="52" t="str">
        <f>VLOOKUP($A344,Questions!$A$2:$X$333,23,0)&amp;""</f>
        <v>Critical Importance</v>
      </c>
      <c r="J344" s="192"/>
      <c r="K344" s="55" t="b">
        <v>0</v>
      </c>
      <c r="L344" s="1"/>
    </row>
    <row r="345" spans="1:14" s="36" customFormat="1" ht="90" x14ac:dyDescent="0.25">
      <c r="A345" s="25" t="str">
        <f>AI!$A$54</f>
        <v>AILM-05</v>
      </c>
      <c r="B345" s="26" t="str">
        <f>VLOOKUP($A345,AI!$A$13:$E$55,2,0)&amp;""</f>
        <v>Do you limit your solution's LLM resource use per request, per step, and per action?</v>
      </c>
      <c r="C345" s="52" t="str">
        <f>VLOOKUP($A345,AI!$A$13:$E$55,3,0)&amp;""</f>
        <v/>
      </c>
      <c r="D345" s="41" t="str">
        <f>IF(LEFT(VLOOKUP($A345,AI!$A$13:$E$55,5,0),21)='Auto Responses'!$A$73,'Auto Responses'!$A$74,VLOOKUP($A345,AI!$A$13:$E$55,4,0))&amp;""</f>
        <v/>
      </c>
      <c r="E345" s="351" t="str">
        <f>VLOOKUP($A345,AI!$A$13:$E$55,5,0)&amp;""</f>
        <v>Based on the response to REQU-04 on the "START HERE" tab, this question does not apply to this product or service.</v>
      </c>
      <c r="F345" s="202"/>
      <c r="G345" s="37" t="str">
        <f>VLOOKUP($A345,Questions!$A$2:$X$333,21,0)&amp;""</f>
        <v>Yes</v>
      </c>
      <c r="H345" s="192"/>
      <c r="I345" s="52" t="str">
        <f>VLOOKUP($A345,Questions!$A$2:$X$333,23,0)&amp;""</f>
        <v>Standard Importance</v>
      </c>
      <c r="J345" s="192"/>
      <c r="K345" s="55" t="b">
        <v>0</v>
      </c>
      <c r="L345" s="1"/>
    </row>
    <row r="346" spans="1:14" s="36" customFormat="1" ht="90" x14ac:dyDescent="0.25">
      <c r="A346" s="25" t="str">
        <f>AI!$A$55</f>
        <v>AILM-06</v>
      </c>
      <c r="B346" s="26" t="str">
        <f>VLOOKUP($A346,AI!$A$13:$E$55,2,0)&amp;""</f>
        <v>Do you leverage LLM model tuning or other model validation mechanisms?</v>
      </c>
      <c r="C346" s="52" t="str">
        <f>VLOOKUP($A346,AI!$A$13:$E$55,3,0)&amp;""</f>
        <v/>
      </c>
      <c r="D346" s="41" t="str">
        <f>IF(LEFT(VLOOKUP($A346,AI!$A$13:$E$55,5,0),21)='Auto Responses'!$A$73,'Auto Responses'!$A$74,VLOOKUP($A346,AI!$A$13:$E$55,4,0))&amp;""</f>
        <v/>
      </c>
      <c r="E346" s="351" t="str">
        <f>VLOOKUP($A346,AI!$A$13:$E$55,5,0)&amp;""</f>
        <v>Based on the response to REQU-04 on the "START HERE" tab, this question does not apply to this product or service.</v>
      </c>
      <c r="F346" s="202"/>
      <c r="G346" s="37" t="str">
        <f>VLOOKUP($A346,Questions!$A$2:$X$333,21,0)&amp;""</f>
        <v>Yes</v>
      </c>
      <c r="H346" s="192"/>
      <c r="I346" s="52" t="str">
        <f>VLOOKUP($A346,Questions!$A$2:$X$333,23,0)&amp;""</f>
        <v>Standard Importance</v>
      </c>
      <c r="J346" s="192"/>
      <c r="K346" s="55" t="b">
        <v>0</v>
      </c>
      <c r="L346" s="1"/>
      <c r="N346" s="255" t="s">
        <v>1531</v>
      </c>
    </row>
    <row r="347" spans="1:14" ht="42" customHeight="1" x14ac:dyDescent="0.3">
      <c r="A347" s="285" t="s">
        <v>1593</v>
      </c>
    </row>
    <row r="348" spans="1:14" ht="15" hidden="1" customHeight="1" x14ac:dyDescent="0.3"/>
    <row r="349" spans="1:14" ht="15" hidden="1" customHeight="1" x14ac:dyDescent="0.3"/>
    <row r="350" spans="1:14" ht="15" hidden="1" customHeight="1" x14ac:dyDescent="0.3"/>
    <row r="351" spans="1:14" ht="15" hidden="1" customHeight="1" x14ac:dyDescent="0.3"/>
    <row r="352" spans="1:14" ht="15" hidden="1" customHeight="1" x14ac:dyDescent="0.3"/>
    <row r="353" ht="15" hidden="1" customHeight="1" x14ac:dyDescent="0.3"/>
    <row r="354" ht="15" hidden="1" customHeight="1" x14ac:dyDescent="0.3"/>
    <row r="355" ht="15" hidden="1" customHeight="1" x14ac:dyDescent="0.3"/>
    <row r="356" ht="15" hidden="1" customHeight="1" x14ac:dyDescent="0.3"/>
    <row r="357" ht="15" hidden="1" customHeight="1" x14ac:dyDescent="0.3"/>
    <row r="358" ht="15" hidden="1" customHeight="1" x14ac:dyDescent="0.3"/>
    <row r="359" ht="15" hidden="1" customHeight="1" x14ac:dyDescent="0.3"/>
    <row r="360" ht="15" hidden="1" customHeight="1" x14ac:dyDescent="0.3"/>
    <row r="361" ht="15" hidden="1" customHeight="1" x14ac:dyDescent="0.3"/>
    <row r="362" ht="15" hidden="1" customHeight="1" x14ac:dyDescent="0.3"/>
    <row r="363" ht="15" hidden="1" customHeight="1" x14ac:dyDescent="0.3"/>
    <row r="364" ht="15" hidden="1" customHeight="1" x14ac:dyDescent="0.3"/>
  </sheetData>
  <mergeCells count="1">
    <mergeCell ref="A19:C19"/>
  </mergeCells>
  <conditionalFormatting sqref="F21:G40">
    <cfRule type="dataBar" priority="3">
      <dataBar>
        <cfvo type="num" val="0"/>
        <cfvo type="num" val="1"/>
        <color rgb="FFD0DAF0"/>
      </dataBar>
      <extLst>
        <ext xmlns:x14="http://schemas.microsoft.com/office/spreadsheetml/2009/9/main" uri="{B025F937-C7B1-47D3-B67F-A62EFF666E3E}">
          <x14:id>{146DD6DD-DBE8-4342-A96D-7D447F073938}</x14:id>
        </ext>
      </extLst>
    </cfRule>
  </conditionalFormatting>
  <conditionalFormatting sqref="H40:I40">
    <cfRule type="dataBar" priority="2">
      <dataBar>
        <cfvo type="num" val="0"/>
        <cfvo type="num" val="1"/>
        <color rgb="FF638EC6"/>
      </dataBar>
      <extLst>
        <ext xmlns:x14="http://schemas.microsoft.com/office/spreadsheetml/2009/9/main" uri="{B025F937-C7B1-47D3-B67F-A62EFF666E3E}">
          <x14:id>{C3C44FFB-33C6-45D6-A2DB-1240E27BE538}</x14:id>
        </ext>
      </extLst>
    </cfRule>
  </conditionalFormatting>
  <dataValidations xWindow="718" yWindow="394" count="2">
    <dataValidation allowBlank="1" showInputMessage="1" showErrorMessage="1" prompt="This answer has been populated from the &quot;START HERE&quot; tab and does not need to be re-entered." sqref="C11:C17" xr:uid="{6A8A5DD2-DBC5-4AFA-9212-26517D452447}"/>
    <dataValidation allowBlank="1" showInputMessage="1" showErrorMessage="1" promptTitle="Warning!" prompt="The HECVAT is built using a number of complex formulas. Editing this cell can break the functionality of the tool. " sqref="I2 B20:B40 D20:I40 C20 C40 B2:B17 A3:A17 A44:E347 I56:I346 G56:G346" xr:uid="{42C50130-3A57-4C1D-932F-FE42EF919690}"/>
  </dataValidations>
  <hyperlinks>
    <hyperlink ref="G21" location="'Institution Evaluation'!A66" display="'Institution Evaluation'!A66" xr:uid="{9BB6B783-2D5B-429A-A38D-F31024220AC6}"/>
    <hyperlink ref="G22" location="'Institution Evaluation'!A81" display="'Institution Evaluation'!A81" xr:uid="{FC7CAC10-A125-4FB3-9395-FC67AC423378}"/>
    <hyperlink ref="G23" location="'Institution Evaluation'!A89" display="'Institution Evaluation'!A89" xr:uid="{2030E6E1-C501-4FEE-B141-45D6C29F1410}"/>
    <hyperlink ref="G24" location="'Institution Evaluation'!A95" display="'Institution Evaluation'!A95" xr:uid="{BE736F41-076A-4A55-BCE4-D5E744D90A3E}"/>
    <hyperlink ref="G37" location="'Institution Evaluation'!A228" display="'Institution Evaluation'!A228" xr:uid="{BC5B5905-A357-43BE-8C8F-C844727604F0}"/>
    <hyperlink ref="G38" location="'Institution Evaluation'!A311" display="'Institution Evaluation'!A311" xr:uid="{B8DD21E8-AFF2-458D-832C-276DC34D9341}"/>
    <hyperlink ref="G36" location="'Institution Evaluation'!A301" display="'Institution Evaluation'!A301" xr:uid="{037E2D5D-6696-48E8-A6E0-A0A1B53AF819}"/>
    <hyperlink ref="G35" location="'Institution Evaluation'!A288" display="'Institution Evaluation'!A288" xr:uid="{68E01ACB-B999-4EB5-B2C9-6016F0DE0BC7}"/>
    <hyperlink ref="G34" location="'Institution Evaluation'!A258" display="'Institution Evaluation'!A258" xr:uid="{18219329-4E5D-4C13-A2E5-215BAC1661E0}"/>
    <hyperlink ref="G33" location="'Institution Evaluation'!A247" display="'Institution Evaluation'!A247" xr:uid="{4A8900E2-CB47-4F9A-B96D-CC2E19DD5584}"/>
    <hyperlink ref="G32" location="'Institution Evaluation'!A221" display="'Institution Evaluation'!A221" xr:uid="{6F07FBFB-40EA-4F1C-813D-D8F708EFC7D7}"/>
    <hyperlink ref="G31" location="'Institution Evaluation'!A206" display="'Institution Evaluation'!A206" xr:uid="{E3A7CADC-F4A3-49AC-8E0A-BD9EE497E534}"/>
    <hyperlink ref="G30" location="'Institution Evaluation'!A204" display="'Institution Evaluation'!A204" xr:uid="{CD2F118A-35B5-4C28-8972-FE24734AD731}"/>
    <hyperlink ref="G29" location="'Institution Evaluation'!A186" display="'Institution Evaluation'!A186" xr:uid="{5D216CF7-8C6B-4834-936D-5763F8BC88D7}"/>
    <hyperlink ref="G28" location="'Institution Evaluation'!A171" display="'Institution Evaluation'!A171" xr:uid="{532B68D2-C1A5-47A4-B8EB-AA545547A11A}"/>
    <hyperlink ref="G27" location="'Institution Evaluation'!A147" display="'Institution Evaluation'!A147" xr:uid="{4C73246C-C560-424B-8A91-D3B84CD24D9D}"/>
    <hyperlink ref="G26" location="'Institution Evaluation'!A128" display="'Institution Evaluation'!A128" xr:uid="{F6A8C49A-E2C3-4E23-AE0C-6A45C6FBC71D}"/>
    <hyperlink ref="G25" location="'Institution Evaluation'!A112" display="'Institution Evaluation'!A112" xr:uid="{AA4C3BDA-4E45-4684-A828-7743EFF601A0}"/>
    <hyperlink ref="G39" location="'Privacy Analyst Evaluation'!A1" display="'Privacy Analyst Evaluation'!A1" xr:uid="{98511C3B-577E-4E85-AEF9-70B142A9EA93}"/>
    <hyperlink ref="F226" location="'Institution Evaluation'!A1" display="Back to Scorecard" xr:uid="{6FE45276-9603-4F4F-8578-735AF2BBFC49}"/>
    <hyperlink ref="F245" location="'Institution Evaluation'!A1" display="Back to Scorecard" xr:uid="{2E72BCD7-5D22-471B-9190-B4D53BA791CB}"/>
    <hyperlink ref="F256" location="'Institution Evaluation'!A1" display="Back to Scorecard" xr:uid="{1DF6CF9D-1B58-4E26-BDCF-036EBA6E0137}"/>
    <hyperlink ref="F286" location="'Institution Evaluation'!A1" display="Back to Scorecard" xr:uid="{625C8E31-7739-454D-B7F0-9328178B0745}"/>
    <hyperlink ref="F299" location="'Institution Evaluation'!A1" display="Back to Scorecard" xr:uid="{3FBC5863-16F9-4DF3-99D5-57A3F598FC3A}"/>
    <hyperlink ref="F310" location="'Institution Evaluation'!A1" display="Back to Scorecard" xr:uid="{1E843BFD-9352-466A-A37F-3F6DC0997DC8}"/>
    <hyperlink ref="F313" location="'Institution Evaluation'!A1" display="Back to Scorecard" xr:uid="{A50B3FAF-0DD0-47AE-A226-3EE8F4666964}"/>
    <hyperlink ref="F319" location="'Institution Evaluation'!A1" display="Back to Scorecard" xr:uid="{8578A02B-414A-4B89-9874-6E0F0CABA11C}"/>
    <hyperlink ref="F325" location="'Institution Evaluation'!A1" display="Back to Scorecard" xr:uid="{4EAF07E3-A446-49D6-9B81-301D7A6A2DFE}"/>
    <hyperlink ref="F331" location="'Institution Evaluation'!A1" display="Back to Scorecard" xr:uid="{C9BE1873-AF3B-4E05-82F3-E1ED6FD8F27D}"/>
    <hyperlink ref="F340" location="'Institution Evaluation'!A1" display="Back to Scorecard" xr:uid="{5672A663-5CCE-44F8-8363-A99CF2D6F791}"/>
    <hyperlink ref="F219" location="'Institution Evaluation'!A1" display="Back to Scorecard" xr:uid="{83828567-04BF-459E-8BE2-0044D0127369}"/>
    <hyperlink ref="F214" location="'Institution Evaluation'!A1" display="Back to Scorecard" xr:uid="{A1BEA664-9690-4B03-A04C-A117FCFB989B}"/>
    <hyperlink ref="F202" location="'Institution Evaluation'!A1" display="Back to Scorecard" xr:uid="{3836858E-46B1-4C36-8D02-D0F05A52A25D}"/>
    <hyperlink ref="F185" location="'Institution Evaluation'!A1" display="Back to Scorecard" xr:uid="{28F17DC6-289B-4707-8B7E-A7CB84C7B4E7}"/>
    <hyperlink ref="F170" location="'Institution Evaluation'!A1" display="Back to Scorecard" xr:uid="{A20522A8-B50C-4AB4-9230-9AAB73E30EE3}"/>
    <hyperlink ref="F146" location="'Institution Evaluation'!A1" display="Back to Scorecard" xr:uid="{1B0F8724-01FD-41CC-8969-8150BDFB0208}"/>
    <hyperlink ref="F127" location="'Institution Evaluation'!A1" display="Back to Scorecard" xr:uid="{971A4E34-19F9-45C1-9027-6E3D641F88EA}"/>
    <hyperlink ref="F111" location="'Institution Evaluation'!A1" display="Back to Scorecard" xr:uid="{D01D5539-6E7F-46C9-874E-F0ADC51C4D23}"/>
    <hyperlink ref="F94" location="'Institution Evaluation'!A1" display="Back to Scorecard" xr:uid="{D0E197AF-1A83-4B46-B53C-01D46E5B6996}"/>
    <hyperlink ref="F88" location="'Institution Evaluation'!A1" display="Back to Scorecard" xr:uid="{0E1BC0D2-F0CC-4575-A673-A3D3CD3DB862}"/>
    <hyperlink ref="F80" location="'Institution Evaluation'!A1" display="Back to Scorecard" xr:uid="{E02B3B42-5558-465B-BDCA-EDE683CAD9F3}"/>
    <hyperlink ref="F71" location="'Institution Evaluation'!A1" display="Back to Scorecard" xr:uid="{2A563F40-8112-422A-B701-8423B34C6A6C}"/>
    <hyperlink ref="F65" location="'Institution Evaluation'!A1" display="Back to Scorecard" xr:uid="{8F2468E9-F2C9-48B9-A074-8DA2F50452F2}"/>
    <hyperlink ref="F55" location="'Institution Evaluation'!A1" display="Back to Scorecard" xr:uid="{9B29E0DB-9237-4EDA-B6E6-FFE05032A5EC}"/>
    <hyperlink ref="A10" r:id="rId1" display="http://www.educause.edu/HECVAT" xr:uid="{CA4B97E8-4BB8-44D3-873F-D2FA5808C236}"/>
    <hyperlink ref="A52" r:id="rId2" display="http://www.educause.edu/HECVAT" xr:uid="{C50E9FB8-ECD0-41CB-A4B7-EF5F93086563}"/>
  </hyperlinks>
  <pageMargins left="0.7" right="0.7" top="0.75" bottom="0.75" header="0.3" footer="0.3"/>
  <pageSetup orientation="portrait" verticalDpi="300" r:id="rId3"/>
  <extLst>
    <ext xmlns:x14="http://schemas.microsoft.com/office/spreadsheetml/2009/9/main" uri="{78C0D931-6437-407d-A8EE-F0AAD7539E65}">
      <x14:conditionalFormattings>
        <x14:conditionalFormatting xmlns:xm="http://schemas.microsoft.com/office/excel/2006/main">
          <x14:cfRule type="dataBar" id="{146DD6DD-DBE8-4342-A96D-7D447F073938}">
            <x14:dataBar minLength="0" maxLength="100" gradient="0" direction="leftToRight" axisPosition="none">
              <x14:cfvo type="num">
                <xm:f>0</xm:f>
              </x14:cfvo>
              <x14:cfvo type="num">
                <xm:f>1</xm:f>
              </x14:cfvo>
              <x14:negativeFillColor rgb="FFFF0000"/>
            </x14:dataBar>
          </x14:cfRule>
          <xm:sqref>F21:G40</xm:sqref>
        </x14:conditionalFormatting>
        <x14:conditionalFormatting xmlns:xm="http://schemas.microsoft.com/office/excel/2006/main">
          <x14:cfRule type="dataBar" id="{C3C44FFB-33C6-45D6-A2DB-1240E27BE538}">
            <x14:dataBar minLength="0" maxLength="100" gradient="0" direction="leftToRight" axisPosition="none">
              <x14:cfvo type="num">
                <xm:f>0</xm:f>
              </x14:cfvo>
              <x14:cfvo type="num">
                <xm:f>1</xm:f>
              </x14:cfvo>
              <x14:negativeFillColor rgb="FFFF0000"/>
            </x14:dataBar>
          </x14:cfRule>
          <xm:sqref>H40:I40</xm:sqref>
        </x14:conditionalFormatting>
      </x14:conditionalFormattings>
    </ext>
    <ext xmlns:x14="http://schemas.microsoft.com/office/spreadsheetml/2009/9/main" uri="{CCE6A557-97BC-4b89-ADB6-D9C93CAAB3DF}">
      <x14:dataValidations xmlns:xm="http://schemas.microsoft.com/office/excel/2006/main" xWindow="718" yWindow="394" count="2">
        <x14:dataValidation type="list" allowBlank="1" showInputMessage="1" showErrorMessage="1" xr:uid="{87D58459-7D2A-4093-AA23-CB3B86A17A63}">
          <x14:formula1>
            <xm:f>'Auto Responses'!$J$11:$J$14</xm:f>
          </x14:formula1>
          <xm:sqref>J56:J64 J332:J339 J326:J330 J320:J324 J314:J318 J311:J312 J300:J309 J287:J298 J257:J285 J246:J255 J227:J244 J220:J225 J215:J218 J203:J213 J186:J201 J171:J184 J147:J169 J128:J145 J112:J126 J95:J110 J89:J93 J81:J87 J72:J79 J66:J70 J341:J346</xm:sqref>
        </x14:dataValidation>
        <x14:dataValidation type="list" allowBlank="1" showInputMessage="1" showErrorMessage="1" xr:uid="{11ECA3B0-CCF9-44AB-BABD-846BE063E009}">
          <x14:formula1>
            <xm:f>'Auto Responses'!$J$7:$J$8</xm:f>
          </x14:formula1>
          <xm:sqref>H332:H339 H326:H330 H320:H324 H314:H318 H311:H312 H300:H309 H287:H298 H257:H285 H246:H255 H227:H244 H220:H225 H215:H218 H203:H213 H186:H201 H171:H184 H147:H169 H128:H145 H112:H126 H95:H110 H89:H93 H81:H87 H72:H79 H66:H70 H56:H64 H341:H346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CCD4C-2221-4279-8401-0FFFE36871FD}">
  <sheetPr>
    <tabColor rgb="FFE0B233"/>
  </sheetPr>
  <dimension ref="A1:LZ696"/>
  <sheetViews>
    <sheetView showGridLines="0" showZeros="0" topLeftCell="A2" zoomScale="80" zoomScaleNormal="80" workbookViewId="0">
      <selection activeCell="A2" sqref="A2"/>
    </sheetView>
  </sheetViews>
  <sheetFormatPr defaultColWidth="0" defaultRowHeight="15" zeroHeight="1" x14ac:dyDescent="0.3"/>
  <cols>
    <col min="1" max="1" width="8.06640625" style="62" customWidth="1"/>
    <col min="2" max="2" width="21.6640625" style="62" customWidth="1"/>
    <col min="3" max="3" width="27.6640625" style="62" customWidth="1"/>
    <col min="4" max="4" width="21.46484375" style="62" bestFit="1" customWidth="1"/>
    <col min="5" max="5" width="21.3984375" style="62" bestFit="1" customWidth="1"/>
    <col min="6" max="6" width="17" style="62" customWidth="1"/>
    <col min="7" max="7" width="2.19921875" style="62" customWidth="1"/>
    <col min="8" max="8" width="6.46484375" style="62" customWidth="1"/>
    <col min="9" max="9" width="8.3984375" style="62" bestFit="1" customWidth="1"/>
    <col min="10" max="10" width="31.06640625" style="62" customWidth="1"/>
    <col min="11" max="13" width="22.6640625" style="62" customWidth="1"/>
    <col min="14" max="14" width="8.46484375" style="62" customWidth="1"/>
    <col min="15" max="15" width="8.265625" style="62" hidden="1" customWidth="1"/>
    <col min="16" max="16" width="8.19921875" style="62" hidden="1" customWidth="1"/>
    <col min="17" max="17" width="8.3984375" style="62" hidden="1" customWidth="1"/>
    <col min="18" max="24" width="8.46484375" style="62" hidden="1" customWidth="1"/>
    <col min="25" max="25" width="8.3984375" style="62" hidden="1" customWidth="1"/>
    <col min="26" max="26" width="8.265625" style="62" hidden="1" customWidth="1"/>
    <col min="27" max="28" width="8.46484375" style="62" hidden="1" customWidth="1"/>
    <col min="29" max="29" width="8.19921875" style="62" hidden="1" customWidth="1"/>
    <col min="30" max="30" width="8.46484375" style="62" hidden="1" customWidth="1"/>
    <col min="31" max="32" width="8.3984375" style="62" hidden="1" customWidth="1"/>
    <col min="33" max="34" width="8.46484375" style="62" hidden="1" customWidth="1"/>
    <col min="35" max="35" width="10.59765625" style="62" hidden="1" customWidth="1"/>
    <col min="36" max="43" width="8.46484375" style="62" hidden="1" customWidth="1"/>
    <col min="44" max="46" width="8.3984375" style="62" hidden="1" customWidth="1"/>
    <col min="47" max="47" width="8.46484375" style="62" hidden="1" customWidth="1"/>
    <col min="48" max="48" width="8.3984375" style="62" hidden="1" customWidth="1"/>
    <col min="49" max="53" width="8.46484375" style="62" hidden="1" customWidth="1"/>
    <col min="54" max="54" width="8.6640625" style="62" hidden="1" customWidth="1"/>
    <col min="55" max="55" width="8.46484375" style="62" hidden="1" customWidth="1"/>
    <col min="56" max="56" width="8.265625" style="62" hidden="1" customWidth="1"/>
    <col min="57" max="57" width="8.46484375" style="62" hidden="1" customWidth="1"/>
    <col min="58" max="60" width="8.3984375" style="62" hidden="1" customWidth="1"/>
    <col min="61" max="63" width="8.46484375" style="62" hidden="1" customWidth="1"/>
    <col min="64" max="64" width="17.3984375" style="62" hidden="1" customWidth="1"/>
    <col min="65" max="68" width="8.46484375" style="62" hidden="1" customWidth="1"/>
    <col min="69" max="70" width="8.3984375" style="62" hidden="1" customWidth="1"/>
    <col min="71" max="90" width="8.46484375" style="62" hidden="1" customWidth="1"/>
    <col min="91" max="91" width="11.46484375" style="62" hidden="1" customWidth="1"/>
    <col min="92" max="94" width="8.46484375" style="62" hidden="1" customWidth="1"/>
    <col min="95" max="95" width="8.3984375" style="62" hidden="1" customWidth="1"/>
    <col min="96" max="96" width="11.3984375" style="62" hidden="1" customWidth="1"/>
    <col min="97" max="97" width="8.46484375" style="62" hidden="1" customWidth="1"/>
    <col min="98" max="98" width="8.19921875" style="62" hidden="1" customWidth="1"/>
    <col min="99" max="100" width="8.3984375" style="62" hidden="1" customWidth="1"/>
    <col min="101" max="102" width="8.46484375" style="62" hidden="1" customWidth="1"/>
    <col min="103" max="103" width="8.86328125" style="62" hidden="1" customWidth="1"/>
    <col min="104" max="109" width="8.46484375" style="62" hidden="1" customWidth="1"/>
    <col min="110" max="111" width="8.3984375" style="62" hidden="1" customWidth="1"/>
    <col min="112" max="114" width="8.46484375" style="62" hidden="1" customWidth="1"/>
    <col min="115" max="116" width="8.3984375" style="62" hidden="1" customWidth="1"/>
    <col min="117" max="117" width="8.46484375" style="62" hidden="1" customWidth="1"/>
    <col min="118" max="118" width="8.3984375" style="62" hidden="1" customWidth="1"/>
    <col min="119" max="119" width="10.86328125" style="62" hidden="1" customWidth="1"/>
    <col min="120" max="124" width="8.46484375" style="62" hidden="1" customWidth="1"/>
    <col min="125" max="125" width="9" style="62" hidden="1" customWidth="1"/>
    <col min="126" max="128" width="8.46484375" style="62" hidden="1" customWidth="1"/>
    <col min="129" max="129" width="8.3984375" style="62" hidden="1" customWidth="1"/>
    <col min="130" max="133" width="8.46484375" style="62" hidden="1" customWidth="1"/>
    <col min="134" max="134" width="10.59765625" style="62" hidden="1" customWidth="1"/>
    <col min="135" max="135" width="8.3984375" style="62" hidden="1" customWidth="1"/>
    <col min="136" max="138" width="8.46484375" style="62" hidden="1" customWidth="1"/>
    <col min="139" max="140" width="8.3984375" style="62" hidden="1" customWidth="1"/>
    <col min="141" max="145" width="8.46484375" style="62" hidden="1" customWidth="1"/>
    <col min="146" max="146" width="8.3984375" style="62" hidden="1" customWidth="1"/>
    <col min="147" max="148" width="8.46484375" style="62" hidden="1" customWidth="1"/>
    <col min="149" max="149" width="8.3984375" style="62" hidden="1" customWidth="1"/>
    <col min="150" max="151" width="8.46484375" style="62" hidden="1" customWidth="1"/>
    <col min="152" max="152" width="8.265625" style="62" hidden="1" customWidth="1"/>
    <col min="153" max="155" width="8.46484375" style="62" hidden="1" customWidth="1"/>
    <col min="156" max="156" width="8.3984375" style="62" hidden="1" customWidth="1"/>
    <col min="157" max="157" width="14.6640625" style="62" hidden="1" customWidth="1"/>
    <col min="158" max="158" width="8.3984375" style="62" hidden="1" customWidth="1"/>
    <col min="159" max="159" width="12.3984375" style="62" hidden="1" customWidth="1"/>
    <col min="160" max="161" width="8.46484375" style="62" hidden="1" customWidth="1"/>
    <col min="162" max="162" width="8.3984375" style="62" hidden="1" customWidth="1"/>
    <col min="163" max="164" width="8.46484375" style="62" hidden="1" customWidth="1"/>
    <col min="165" max="165" width="8" style="62" hidden="1" customWidth="1"/>
    <col min="166" max="166" width="8.46484375" style="62" hidden="1" customWidth="1"/>
    <col min="167" max="167" width="8.3984375" style="62" hidden="1" customWidth="1"/>
    <col min="168" max="169" width="8.46484375" style="62" hidden="1" customWidth="1"/>
    <col min="170" max="170" width="9" style="62" hidden="1" customWidth="1"/>
    <col min="171" max="171" width="8.19921875" style="62" hidden="1" customWidth="1"/>
    <col min="172" max="172" width="8.3984375" style="62" hidden="1" customWidth="1"/>
    <col min="173" max="173" width="8.46484375" style="62" hidden="1" customWidth="1"/>
    <col min="174" max="174" width="8.3984375" style="62" hidden="1" customWidth="1"/>
    <col min="175" max="175" width="8.46484375" style="62" hidden="1" customWidth="1"/>
    <col min="176" max="176" width="8.3984375" style="62" hidden="1" customWidth="1"/>
    <col min="177" max="177" width="8.265625" style="62" hidden="1" customWidth="1"/>
    <col min="178" max="179" width="8.46484375" style="62" hidden="1" customWidth="1"/>
    <col min="180" max="180" width="8.19921875" style="62" hidden="1" customWidth="1"/>
    <col min="181" max="181" width="8.3984375" style="62" hidden="1" customWidth="1"/>
    <col min="182" max="183" width="8.46484375" style="62" hidden="1" customWidth="1"/>
    <col min="184" max="184" width="11.86328125" style="62" hidden="1" customWidth="1"/>
    <col min="185" max="185" width="9.06640625" style="62" hidden="1" customWidth="1"/>
    <col min="186" max="186" width="8.46484375" style="62" hidden="1" customWidth="1"/>
    <col min="187" max="187" width="10.19921875" style="62" hidden="1" customWidth="1"/>
    <col min="188" max="190" width="8.46484375" style="62" hidden="1" customWidth="1"/>
    <col min="191" max="191" width="8.3984375" style="62" hidden="1" customWidth="1"/>
    <col min="192" max="192" width="8.46484375" style="62" hidden="1" customWidth="1"/>
    <col min="193" max="193" width="8.19921875" style="62" hidden="1" customWidth="1"/>
    <col min="194" max="194" width="8.3984375" style="62" hidden="1" customWidth="1"/>
    <col min="195" max="198" width="8.46484375" style="62" hidden="1" customWidth="1"/>
    <col min="199" max="201" width="8.3984375" style="62" hidden="1" customWidth="1"/>
    <col min="202" max="202" width="8.46484375" style="62" hidden="1" customWidth="1"/>
    <col min="203" max="206" width="8.3984375" style="62" hidden="1" customWidth="1"/>
    <col min="207" max="209" width="8.46484375" style="62" hidden="1" customWidth="1"/>
    <col min="210" max="210" width="8.06640625" style="62" hidden="1" customWidth="1"/>
    <col min="211" max="211" width="8.46484375" style="62" hidden="1" customWidth="1"/>
    <col min="212" max="213" width="8.3984375" style="62" hidden="1" customWidth="1"/>
    <col min="214" max="214" width="7.86328125" style="62" hidden="1" customWidth="1"/>
    <col min="215" max="216" width="8.46484375" style="62" hidden="1" customWidth="1"/>
    <col min="217" max="217" width="8.3984375" style="62" hidden="1" customWidth="1"/>
    <col min="218" max="219" width="8.46484375" style="62" hidden="1" customWidth="1"/>
    <col min="220" max="220" width="8.3984375" style="62" hidden="1" customWidth="1"/>
    <col min="221" max="221" width="8.19921875" style="62" hidden="1" customWidth="1"/>
    <col min="222" max="222" width="8.3984375" style="62" hidden="1" customWidth="1"/>
    <col min="223" max="224" width="8.46484375" style="62" hidden="1" customWidth="1"/>
    <col min="225" max="225" width="8.3984375" style="62" hidden="1" customWidth="1"/>
    <col min="226" max="227" width="8.46484375" style="62" hidden="1" customWidth="1"/>
    <col min="228" max="231" width="8.3984375" style="62" hidden="1" customWidth="1"/>
    <col min="232" max="233" width="8.46484375" style="62" hidden="1" customWidth="1"/>
    <col min="234" max="234" width="8.3984375" style="62" hidden="1" customWidth="1"/>
    <col min="235" max="235" width="8.265625" style="62" hidden="1" customWidth="1"/>
    <col min="236" max="236" width="8.3984375" style="62" hidden="1" customWidth="1"/>
    <col min="237" max="237" width="8.46484375" style="62" hidden="1" customWidth="1"/>
    <col min="238" max="238" width="8.265625" style="62" hidden="1" customWidth="1"/>
    <col min="239" max="242" width="8.3984375" style="62" hidden="1" customWidth="1"/>
    <col min="243" max="243" width="10.06640625" style="62" hidden="1" customWidth="1"/>
    <col min="244" max="244" width="8.3984375" style="62" hidden="1" customWidth="1"/>
    <col min="245" max="249" width="8.46484375" style="62" hidden="1" customWidth="1"/>
    <col min="250" max="250" width="8.3984375" style="62" hidden="1" customWidth="1"/>
    <col min="251" max="254" width="8.46484375" style="62" hidden="1" customWidth="1"/>
    <col min="255" max="256" width="8.3984375" style="62" hidden="1" customWidth="1"/>
    <col min="257" max="259" width="8.46484375" style="62" hidden="1" customWidth="1"/>
    <col min="260" max="261" width="8.3984375" style="62" hidden="1" customWidth="1"/>
    <col min="262" max="263" width="8.46484375" style="62" hidden="1" customWidth="1"/>
    <col min="264" max="264" width="8.265625" style="62" hidden="1" customWidth="1"/>
    <col min="265" max="265" width="8.46484375" style="62" hidden="1" customWidth="1"/>
    <col min="266" max="266" width="8.3984375" style="62" hidden="1" customWidth="1"/>
    <col min="267" max="267" width="8.46484375" style="62" hidden="1" customWidth="1"/>
    <col min="268" max="268" width="8.86328125" style="62" hidden="1" customWidth="1"/>
    <col min="269" max="269" width="10.3984375" style="62" hidden="1" customWidth="1"/>
    <col min="270" max="270" width="8.46484375" style="62" hidden="1" customWidth="1"/>
    <col min="271" max="273" width="8.3984375" style="62" hidden="1" customWidth="1"/>
    <col min="274" max="276" width="8.46484375" style="62" hidden="1" customWidth="1"/>
    <col min="277" max="277" width="8.265625" style="62" hidden="1" customWidth="1"/>
    <col min="278" max="278" width="8.3984375" style="62" hidden="1" customWidth="1"/>
    <col min="279" max="282" width="8.46484375" style="62" hidden="1" customWidth="1"/>
    <col min="283" max="283" width="8.265625" style="62" hidden="1" customWidth="1"/>
    <col min="284" max="284" width="8.3984375" style="62" hidden="1" customWidth="1"/>
    <col min="285" max="286" width="8.265625" style="62" hidden="1" customWidth="1"/>
    <col min="287" max="288" width="8.3984375" style="62" hidden="1" customWidth="1"/>
    <col min="289" max="295" width="8.46484375" style="62" hidden="1" customWidth="1"/>
    <col min="296" max="296" width="8.06640625" style="62" hidden="1" customWidth="1"/>
    <col min="297" max="297" width="8.46484375" style="62" hidden="1" customWidth="1"/>
    <col min="298" max="298" width="7.86328125" style="62" hidden="1" customWidth="1"/>
    <col min="299" max="300" width="8.46484375" style="62" hidden="1" customWidth="1"/>
    <col min="301" max="304" width="8.265625" style="62" hidden="1" customWidth="1"/>
    <col min="305" max="308" width="8.19921875" style="62" hidden="1" customWidth="1"/>
    <col min="309" max="309" width="7.59765625" style="62" hidden="1" customWidth="1"/>
    <col min="310" max="310" width="8.3984375" style="62" hidden="1" customWidth="1"/>
    <col min="311" max="311" width="8.265625" style="62" hidden="1" customWidth="1"/>
    <col min="312" max="313" width="8.3984375" style="62" hidden="1" customWidth="1"/>
    <col min="314" max="314" width="8.46484375" style="62" hidden="1" customWidth="1"/>
    <col min="315" max="315" width="8.3984375" style="62" hidden="1" customWidth="1"/>
    <col min="316" max="316" width="8.46484375" style="62" hidden="1" customWidth="1"/>
    <col min="317" max="318" width="8.3984375" style="62" hidden="1" customWidth="1"/>
    <col min="319" max="319" width="8.46484375" style="62" hidden="1" customWidth="1"/>
    <col min="320" max="321" width="8.3984375" style="62" hidden="1" customWidth="1"/>
    <col min="322" max="324" width="8.46484375" style="62" hidden="1" customWidth="1"/>
    <col min="325" max="325" width="8.3984375" style="62" hidden="1" customWidth="1"/>
    <col min="326" max="329" width="8.46484375" style="62" hidden="1" customWidth="1"/>
    <col min="330" max="330" width="9.3984375" style="62" hidden="1" customWidth="1"/>
    <col min="331" max="334" width="8.46484375" style="62" hidden="1" customWidth="1"/>
    <col min="335" max="335" width="8.3984375" style="62" hidden="1" customWidth="1"/>
    <col min="336" max="336" width="8.46484375" style="62" hidden="1" customWidth="1"/>
    <col min="337" max="337" width="8.3984375" style="62" hidden="1" customWidth="1"/>
    <col min="338" max="338" width="6.46484375" style="62" hidden="1" customWidth="1"/>
    <col min="339" max="16384" width="8.46484375" style="62" hidden="1"/>
  </cols>
  <sheetData>
    <row r="1" spans="1:13" hidden="1" x14ac:dyDescent="0.3">
      <c r="A1" s="257" t="s">
        <v>1534</v>
      </c>
    </row>
    <row r="2" spans="1:13" ht="36" customHeight="1" x14ac:dyDescent="0.3">
      <c r="A2" s="183" t="s">
        <v>1563</v>
      </c>
      <c r="B2" s="183"/>
      <c r="C2" s="183"/>
      <c r="D2" s="183"/>
      <c r="E2" s="183"/>
      <c r="F2" s="183"/>
      <c r="G2" s="183"/>
      <c r="H2" s="183"/>
      <c r="I2" s="184"/>
      <c r="J2" s="184" t="str">
        <f>'Auto Responses'!$A$36</f>
        <v>Version 4.1.0</v>
      </c>
      <c r="K2" s="184"/>
      <c r="L2" s="184"/>
      <c r="M2" s="184"/>
    </row>
    <row r="3" spans="1:13" ht="22.5" customHeight="1" x14ac:dyDescent="0.3">
      <c r="A3" s="105"/>
      <c r="B3" s="105"/>
      <c r="C3" s="105"/>
      <c r="D3" s="105"/>
      <c r="E3" s="105"/>
      <c r="F3" s="105"/>
      <c r="G3" s="105"/>
      <c r="H3" s="105"/>
      <c r="I3" s="105"/>
      <c r="J3" s="105"/>
      <c r="K3" s="105"/>
      <c r="L3" s="105"/>
      <c r="M3" s="105"/>
    </row>
    <row r="4" spans="1:13" ht="36" customHeight="1" x14ac:dyDescent="0.3">
      <c r="A4" s="106" t="s">
        <v>1480</v>
      </c>
      <c r="B4" s="107"/>
      <c r="C4" s="107"/>
      <c r="D4" s="107"/>
      <c r="E4" s="107"/>
      <c r="F4" s="107"/>
      <c r="G4" s="107"/>
      <c r="H4" s="107"/>
      <c r="I4" s="107"/>
      <c r="J4" s="107"/>
      <c r="K4" s="107"/>
      <c r="L4" s="107"/>
      <c r="M4" s="107"/>
    </row>
    <row r="5" spans="1:13" ht="19.5" customHeight="1" x14ac:dyDescent="0.3">
      <c r="A5" s="315" t="str">
        <f>HLOOKUP($A$4,'Auto Responses'!$H$2:$H$5,2,0)&amp;""</f>
        <v xml:space="preserve">1. The scorecard below reflects those questions marked as "Critical Importance" or those where the "Non-Negotiable" box was checked. </v>
      </c>
      <c r="B5" s="172"/>
      <c r="C5" s="172"/>
      <c r="D5" s="172"/>
      <c r="E5" s="172"/>
      <c r="F5" s="172"/>
      <c r="G5" s="172"/>
      <c r="H5" s="172"/>
      <c r="I5" s="172"/>
      <c r="J5" s="68"/>
      <c r="K5" s="68"/>
      <c r="L5" s="68"/>
      <c r="M5" s="68"/>
    </row>
    <row r="6" spans="1:13" s="254" customFormat="1" ht="19.5" customHeight="1" x14ac:dyDescent="0.3">
      <c r="A6" s="315" t="str">
        <f>HLOOKUP($A$4,'Auto Responses'!$H$2:$H$5,3,0)&amp;""</f>
        <v xml:space="preserve">2. Use these condensed, aggregated views to review those questions that pose the highest risk. </v>
      </c>
      <c r="B6" s="315"/>
      <c r="C6" s="315"/>
      <c r="D6" s="315"/>
      <c r="E6" s="315"/>
      <c r="F6" s="315"/>
      <c r="G6" s="315"/>
      <c r="H6" s="315"/>
      <c r="I6" s="315"/>
      <c r="J6" s="316"/>
      <c r="K6" s="316"/>
      <c r="L6" s="316"/>
      <c r="M6" s="316"/>
    </row>
    <row r="7" spans="1:13" ht="19.5" customHeight="1" x14ac:dyDescent="0.3">
      <c r="A7" s="315" t="str">
        <f>HLOOKUP($A$4,'Auto Responses'!$H$2:$H$5,4,0)&amp;""</f>
        <v>3. Changes cannot be made in this sheet. Please make changes in the appropriate "Evaluation" tab.</v>
      </c>
      <c r="B7" s="172"/>
      <c r="C7" s="172"/>
      <c r="D7" s="172"/>
      <c r="E7" s="172"/>
      <c r="F7" s="172"/>
      <c r="G7" s="172"/>
      <c r="H7" s="172"/>
      <c r="I7" s="172"/>
      <c r="J7" s="68"/>
      <c r="K7" s="68"/>
      <c r="L7" s="68"/>
      <c r="M7" s="68"/>
    </row>
    <row r="8" spans="1:13" ht="19.5" customHeight="1" thickBot="1" x14ac:dyDescent="0.35">
      <c r="A8" s="264" t="s">
        <v>1611</v>
      </c>
      <c r="B8" s="172"/>
      <c r="C8" s="172"/>
      <c r="D8" s="172"/>
      <c r="E8" s="172"/>
      <c r="F8" s="172"/>
      <c r="G8" s="172"/>
      <c r="H8" s="172"/>
      <c r="I8" s="172"/>
      <c r="J8" s="68"/>
      <c r="K8" s="68"/>
      <c r="L8" s="68"/>
      <c r="M8" s="68"/>
    </row>
    <row r="9" spans="1:13" s="96" customFormat="1" ht="25.5" customHeight="1" x14ac:dyDescent="0.3">
      <c r="A9" s="163" t="str">
        <f>'START HERE'!$B$13</f>
        <v>Solution Provider Name</v>
      </c>
      <c r="B9" s="149"/>
      <c r="C9" s="143" t="str">
        <f>VLOOKUP($A9,'START HERE'!$B$13:$C$21,2,0)&amp;""</f>
        <v xml:space="preserve">Cirrus Identity </v>
      </c>
      <c r="D9" s="144"/>
      <c r="E9" s="145"/>
      <c r="F9" s="97"/>
      <c r="G9" s="97"/>
      <c r="H9" s="102"/>
      <c r="I9" s="97"/>
      <c r="J9" s="97"/>
    </row>
    <row r="10" spans="1:13" s="96" customFormat="1" ht="25.5" customHeight="1" x14ac:dyDescent="0.3">
      <c r="A10" s="164" t="str">
        <f>'START HERE'!$B$16</f>
        <v>Solution Provider Contact Name</v>
      </c>
      <c r="B10" s="150"/>
      <c r="C10" s="142" t="str">
        <f>VLOOKUP($A10,'START HERE'!$B$13:$C$21,2,0)&amp;""</f>
        <v xml:space="preserve">Mark Rank </v>
      </c>
      <c r="D10" s="104"/>
      <c r="E10" s="146"/>
      <c r="F10" s="97"/>
      <c r="G10" s="97"/>
      <c r="H10" s="102"/>
      <c r="I10" s="97"/>
      <c r="J10" s="97"/>
    </row>
    <row r="11" spans="1:13" s="96" customFormat="1" ht="25.5" customHeight="1" x14ac:dyDescent="0.3">
      <c r="A11" s="164" t="str">
        <f>'START HERE'!$B$17</f>
        <v>Solution Provider Contact Title</v>
      </c>
      <c r="B11" s="150"/>
      <c r="C11" s="142" t="str">
        <f>VLOOKUP($A11,'START HERE'!$B$13:$C$21,2,0)&amp;""</f>
        <v>Director of Compliance and Strategic Insights</v>
      </c>
      <c r="D11" s="104"/>
      <c r="E11" s="146"/>
      <c r="F11" s="97"/>
      <c r="G11" s="97"/>
      <c r="H11" s="102"/>
      <c r="I11" s="97"/>
      <c r="J11" s="97"/>
    </row>
    <row r="12" spans="1:13" s="96" customFormat="1" ht="25.5" customHeight="1" x14ac:dyDescent="0.3">
      <c r="A12" s="164" t="str">
        <f>'START HERE'!$B$18</f>
        <v>Solution Provider Contact Email</v>
      </c>
      <c r="B12" s="150"/>
      <c r="C12" s="142" t="str">
        <f>VLOOKUP($A12,'START HERE'!$B$13:$C$21,2,0)&amp;""</f>
        <v>mark.rank@cirrusidentity.com</v>
      </c>
      <c r="D12" s="104"/>
      <c r="E12" s="146"/>
      <c r="F12" s="140"/>
      <c r="G12" s="141"/>
      <c r="H12" s="141"/>
      <c r="I12" s="141"/>
      <c r="J12" s="141"/>
    </row>
    <row r="13" spans="1:13" s="96" customFormat="1" ht="25.5" customHeight="1" x14ac:dyDescent="0.3">
      <c r="A13" s="164" t="str">
        <f>'START HERE'!$B$14</f>
        <v>Solution Name</v>
      </c>
      <c r="B13" s="150"/>
      <c r="C13" s="142" t="str">
        <f>VLOOKUP($A13,'START HERE'!$B$13:$C$21,2,0)&amp;""</f>
        <v>Cirrus Identity Gateway, Cirrus Identity Proxy, Cirrus Identity Bridge, Cirrus Identity Attribute Authority, Cirrus Identity Invitation, Cirrus Identity Account Linking, Cirrus Identity OrgBrandedID, and Cirrus Identity MFA -- Collective referred to as Cirrus Identity Products</v>
      </c>
      <c r="D13" s="104"/>
      <c r="E13" s="146"/>
      <c r="F13" s="140"/>
      <c r="G13" s="141"/>
      <c r="H13" s="141"/>
      <c r="I13" s="141"/>
      <c r="J13" s="141"/>
    </row>
    <row r="14" spans="1:13" s="96" customFormat="1" ht="25.5" customHeight="1" x14ac:dyDescent="0.3">
      <c r="A14" s="164" t="str">
        <f>'START HERE'!$B$15</f>
        <v>Solution Description</v>
      </c>
      <c r="B14" s="150"/>
      <c r="C14" s="142" t="str">
        <f>VLOOKUP($A14,'START HERE'!$B$13:$C$21,2,0)&amp;""</f>
        <v>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v>
      </c>
      <c r="D14" s="104"/>
      <c r="E14" s="146"/>
      <c r="F14" s="140"/>
      <c r="G14" s="141"/>
      <c r="H14" s="141"/>
      <c r="I14" s="141"/>
      <c r="J14" s="141"/>
    </row>
    <row r="15" spans="1:13" s="96" customFormat="1" ht="25.5" customHeight="1" thickBot="1" x14ac:dyDescent="0.35">
      <c r="A15" s="165" t="s">
        <v>1004</v>
      </c>
      <c r="B15" s="151"/>
      <c r="C15" s="362">
        <f>'START HERE'!$C$3</f>
        <v>45894</v>
      </c>
      <c r="D15" s="147"/>
      <c r="E15" s="148"/>
      <c r="F15" s="140"/>
      <c r="G15" s="141"/>
      <c r="H15" s="141"/>
      <c r="I15" s="141"/>
      <c r="J15" s="141"/>
    </row>
    <row r="16" spans="1:13" x14ac:dyDescent="0.3">
      <c r="A16" s="58" t="s">
        <v>1005</v>
      </c>
      <c r="C16" s="278"/>
    </row>
    <row r="17" spans="1:338" s="94" customFormat="1" ht="24" customHeight="1" thickBot="1" x14ac:dyDescent="0.35">
      <c r="A17" s="95"/>
      <c r="B17" s="95"/>
      <c r="C17" s="95"/>
    </row>
    <row r="18" spans="1:338" ht="37.4" customHeight="1" thickBot="1" x14ac:dyDescent="0.35">
      <c r="B18" s="90" t="s">
        <v>1003</v>
      </c>
      <c r="C18" s="117" t="s">
        <v>1021</v>
      </c>
      <c r="D18" s="89" t="s">
        <v>1598</v>
      </c>
      <c r="E18" s="116" t="s">
        <v>1002</v>
      </c>
      <c r="F18" s="93" t="s">
        <v>1001</v>
      </c>
    </row>
    <row r="19" spans="1:338" s="91" customFormat="1" ht="37.4" customHeight="1" thickBot="1" x14ac:dyDescent="0.35">
      <c r="B19" s="120" t="s">
        <v>1020</v>
      </c>
      <c r="C19" s="121">
        <f>SUM('(backend scoring)'!$Q$3:$Q$333)</f>
        <v>0</v>
      </c>
      <c r="D19" s="122">
        <f>SUMIF('(backend scoring)'!$Q$3:$Q$333,1,'(backend scoring)'!$O$3:$O$333)</f>
        <v>0</v>
      </c>
      <c r="E19" s="122">
        <f>SUMIF('(backend scoring)'!$Q$3:$Q$333,1,'(backend scoring)'!$P$3:$P$333)</f>
        <v>0</v>
      </c>
      <c r="F19" s="123" t="str">
        <f>IF(D19=0,"N/A",E19/D19)</f>
        <v>N/A</v>
      </c>
    </row>
    <row r="20" spans="1:338" s="91" customFormat="1" ht="37.4" customHeight="1" thickBot="1" x14ac:dyDescent="0.3">
      <c r="B20" s="120" t="s">
        <v>1609</v>
      </c>
      <c r="C20" s="121">
        <f>SUM('(backend scoring)'!$T$3:$T$333)</f>
        <v>90</v>
      </c>
      <c r="D20" s="122">
        <f>SUMIF('(backend scoring)'!$N$3:$N$333,1,'(backend scoring)'!$O$3:$O$333)</f>
        <v>1180</v>
      </c>
      <c r="E20" s="122">
        <f>SUMIF('(backend scoring)'!$N$3:$N$333,1,'(backend scoring)'!$P$3:$P$333)</f>
        <v>1040</v>
      </c>
      <c r="F20" s="123">
        <f>IF(D20=0,"N/A",E20/D20)</f>
        <v>0.88135593220338981</v>
      </c>
      <c r="G20" s="255" t="s">
        <v>1531</v>
      </c>
    </row>
    <row r="21" spans="1:338" x14ac:dyDescent="0.3">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row>
    <row r="22" spans="1:338" ht="15.5" thickBot="1" x14ac:dyDescent="0.3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row>
    <row r="23" spans="1:338" ht="34.5" customHeight="1" thickBot="1" x14ac:dyDescent="0.35">
      <c r="A23" s="317" t="s">
        <v>1610</v>
      </c>
      <c r="B23" s="170"/>
      <c r="C23" s="170"/>
      <c r="D23" s="170"/>
      <c r="E23" s="170"/>
      <c r="F23" s="171"/>
      <c r="G23" s="173"/>
      <c r="H23" s="317" t="s">
        <v>1033</v>
      </c>
      <c r="I23" s="170"/>
      <c r="J23" s="170"/>
      <c r="K23" s="170"/>
      <c r="L23" s="170"/>
      <c r="M23" s="171"/>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row>
    <row r="24" spans="1:338" ht="34.5" customHeight="1" x14ac:dyDescent="0.3">
      <c r="A24" s="160"/>
      <c r="B24" s="214" t="s">
        <v>1011</v>
      </c>
      <c r="C24" s="214" t="s">
        <v>1</v>
      </c>
      <c r="D24" s="214" t="s">
        <v>1583</v>
      </c>
      <c r="E24" s="214" t="s">
        <v>72</v>
      </c>
      <c r="F24" s="215" t="s">
        <v>905</v>
      </c>
      <c r="G24" s="212"/>
      <c r="H24" s="160"/>
      <c r="I24" s="214" t="s">
        <v>1011</v>
      </c>
      <c r="J24" s="214" t="s">
        <v>1</v>
      </c>
      <c r="K24" s="214" t="s">
        <v>1583</v>
      </c>
      <c r="L24" s="214" t="s">
        <v>72</v>
      </c>
      <c r="M24" s="215" t="s">
        <v>905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row>
    <row r="25" spans="1:338" ht="96.75" customHeight="1" x14ac:dyDescent="0.3">
      <c r="A25" s="216">
        <v>1</v>
      </c>
      <c r="B25" s="216" t="str">
        <f>_xlfn.XLOOKUP($A25,'(backend scoring)'!$V$2:$V$333,'(backend scoring)'!$A$2:$A$333,"")</f>
        <v>COMP-01</v>
      </c>
      <c r="C25" s="216" t="str">
        <f>IFERROR(VLOOKUP($B25,'Institution Evaluation'!$A$55:$F$346,2,0),IFERROR(VLOOKUP($B25,'Privacy Analyst Evaluation'!$A$46:$F$120,2,0),""))&amp;""</f>
        <v>Do you have a dedicated software and system development team(s) (e.g., customer support, implementation, product management, etc.)?*</v>
      </c>
      <c r="D25" s="216" t="str">
        <f>IFERROR(VLOOKUP($B25,'Institution Evaluation'!$A$55:$F$346,3,0),IFERROR(VLOOKUP($B25,'Privacy Analyst Evaluation'!$A$46:$F$120,3,0),""))&amp;""</f>
        <v>Yes</v>
      </c>
      <c r="E25" s="216" t="str">
        <f>IFERROR(VLOOKUP($B25,'Institution Evaluation'!$A$55:$F$346,4,0),IFERROR(VLOOKUP($B25,'Privacy Analyst Evaluation'!$A$46:$F$120,4,0),""))&amp;""</f>
        <v>Cirrus Identity is a relatively small team of IT professionals, each with a background in delivering secure information systems. Our team operates as an integrated whole using both agile and devops methods to deliver our services. While team members have areas of responsibility, there is currently not enough specialization to require focused teams. The areas of responsibility are as follows: Software development: 3 full-time engineers. We also have two long-term contract engineers that assist with R&amp;D and new feature development as appropriate. Systems engineering: 2 full-time engineers. Customer support and Product: 3 full-time positions dedicated to Product and Customer Success. The CEO and Dir of Sales and Marketing also contribute to product management.</v>
      </c>
      <c r="F25" s="216" t="str">
        <f>IFERROR(VLOOKUP($B25,'Institution Evaluation'!$A$55:$F$346,6,0),IFERROR(VLOOKUP($B25,'Privacy Analyst Evaluation'!$A$46:$F$120,6,0),""))&amp;""</f>
        <v/>
      </c>
      <c r="G25" s="217"/>
      <c r="H25" s="216">
        <v>1</v>
      </c>
      <c r="I25" s="216" t="str">
        <f>_xlfn.XLOOKUP($H25,'(backend scoring)'!$S$2:$S$333,'(backend scoring)'!$A$2:$A$333,"")</f>
        <v/>
      </c>
      <c r="J25" s="216" t="str">
        <f>IFERROR(VLOOKUP($I25,'Institution Evaluation'!$A$55:$F$346,2,0),IFERROR(VLOOKUP($I25,'Privacy Analyst Evaluation'!$A$46:$F$120,2,0),""))&amp;""</f>
        <v/>
      </c>
      <c r="K25" s="216" t="str">
        <f>IFERROR(VLOOKUP($I25,'Institution Evaluation'!$A$55:$F$346,3,0),IFERROR(VLOOKUP($I25,'Privacy Analyst Evaluation'!$A$46:$F$120,3,0),""))&amp;""</f>
        <v/>
      </c>
      <c r="L25" s="216" t="str">
        <f>IFERROR(VLOOKUP($I25,'Institution Evaluation'!$A$55:$F$346,4,0),IFERROR(VLOOKUP($I25,'Privacy Analyst Evaluation'!$A$46:$F$120,4,0),""))&amp;""</f>
        <v/>
      </c>
      <c r="M25" s="216" t="str">
        <f>IFERROR(VLOOKUP($I25,'Institution Evaluation'!$A$55:$F$346,6,0),IFERROR(VLOOKUP($I25,'Privacy Analyst Evaluation'!$A$46:$F$120,6,0),""))&amp;""</f>
        <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row>
    <row r="26" spans="1:338" ht="64.5" customHeight="1" x14ac:dyDescent="0.3">
      <c r="A26" s="216">
        <f>IFERROR(IF($A25+1&gt;'(backend scoring)'!$T$335,"",$A25+1),"")</f>
        <v>2</v>
      </c>
      <c r="B26" s="216" t="str">
        <f>_xlfn.XLOOKUP($A26,'(backend scoring)'!$V$2:$V$333,'(backend scoring)'!$A$2:$A$333,"")</f>
        <v>DOCU-01</v>
      </c>
      <c r="C26" s="216" t="str">
        <f>IFERROR(VLOOKUP($B26,'Institution Evaluation'!$A$55:$F$346,2,0),IFERROR(VLOOKUP($B26,'Privacy Analyst Evaluation'!$A$46:$F$120,2,0),""))&amp;""</f>
        <v>Do you have a well-documented business continuity plan (BCP), with a clear owner, that is tested annually?*</v>
      </c>
      <c r="D26" s="216" t="str">
        <f>IFERROR(VLOOKUP($B26,'Institution Evaluation'!$A$55:$F$346,3,0),IFERROR(VLOOKUP($B26,'Privacy Analyst Evaluation'!$A$46:$F$120,3,0),""))&amp;""</f>
        <v>Yes</v>
      </c>
      <c r="E26" s="216" t="str">
        <f>IFERROR(VLOOKUP($B26,'Institution Evaluation'!$A$55:$F$346,4,0),IFERROR(VLOOKUP($B26,'Privacy Analyst Evaluation'!$A$46:$F$120,4,0),""))&amp;""</f>
        <v/>
      </c>
      <c r="F26" s="216" t="str">
        <f>IFERROR(VLOOKUP($B26,'Institution Evaluation'!$A$55:$F$346,6,0),IFERROR(VLOOKUP($B26,'Privacy Analyst Evaluation'!$A$46:$F$120,6,0),""))&amp;""</f>
        <v/>
      </c>
      <c r="G26" s="217"/>
      <c r="H26" s="216" t="str">
        <f>IFERROR(IF($H25+1&gt;'(backend scoring)'!$Q$335,"",$H25+1),"")</f>
        <v/>
      </c>
      <c r="I26" s="216" t="str">
        <f>_xlfn.XLOOKUP($H26,'(backend scoring)'!$S$2:$S$333,'(backend scoring)'!$A$2:$A$333,"")</f>
        <v/>
      </c>
      <c r="J26" s="216" t="str">
        <f>IFERROR(VLOOKUP($I26,'Institution Evaluation'!$A$55:$F$346,2,0),IFERROR(VLOOKUP($I26,'Privacy Analyst Evaluation'!$A$46:$F$120,2,0),""))</f>
        <v/>
      </c>
      <c r="K26" s="216" t="str">
        <f>IFERROR(VLOOKUP($I26,'Institution Evaluation'!$A$55:$F$346,3,0),IFERROR(VLOOKUP($I26,'Privacy Analyst Evaluation'!$A$46:$F$120,3,0),""))&amp;""</f>
        <v/>
      </c>
      <c r="L26" s="216" t="str">
        <f>IFERROR(VLOOKUP($I26,'Institution Evaluation'!$A$55:$F$346,4,0),IFERROR(VLOOKUP($I26,'Privacy Analyst Evaluation'!$A$46:$F$120,4,0),""))&amp;""</f>
        <v/>
      </c>
      <c r="M26" s="216" t="str">
        <f>IFERROR(VLOOKUP($I26,'Institution Evaluation'!$A$55:$F$346,6,0),IFERROR(VLOOKUP($I26,'Privacy Analyst Evaluation'!$A$46:$F$120,6,0),""))&amp;""</f>
        <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row>
    <row r="27" spans="1:338" ht="66.75" customHeight="1" x14ac:dyDescent="0.3">
      <c r="A27" s="216">
        <f>IFERROR(IF($A26+1&gt;'(backend scoring)'!$T$335,"",$A26+1),"")</f>
        <v>3</v>
      </c>
      <c r="B27" s="216" t="str">
        <f>_xlfn.XLOOKUP($A27,'(backend scoring)'!$V$2:$V$333,'(backend scoring)'!$A$2:$A$333,"")</f>
        <v>DOCU-02</v>
      </c>
      <c r="C27" s="216" t="str">
        <f>IFERROR(VLOOKUP($B27,'Institution Evaluation'!$A$55:$F$346,2,0),IFERROR(VLOOKUP($B27,'Privacy Analyst Evaluation'!$A$46:$F$120,2,0),""))&amp;""</f>
        <v>Do you have a well-documented disaster recovery plan (DRP), with a clear owner, that is tested annually?*</v>
      </c>
      <c r="D27" s="216" t="str">
        <f>IFERROR(VLOOKUP($B27,'Institution Evaluation'!$A$55:$F$346,3,0),IFERROR(VLOOKUP($B27,'Privacy Analyst Evaluation'!$A$46:$F$120,3,0),""))&amp;""</f>
        <v>Yes</v>
      </c>
      <c r="E27" s="216" t="str">
        <f>IFERROR(VLOOKUP($B27,'Institution Evaluation'!$A$55:$F$346,4,0),IFERROR(VLOOKUP($B27,'Privacy Analyst Evaluation'!$A$46:$F$120,4,0),""))&amp;""</f>
        <v/>
      </c>
      <c r="F27" s="216" t="str">
        <f>IFERROR(VLOOKUP($B27,'Institution Evaluation'!$A$55:$F$346,6,0),IFERROR(VLOOKUP($B27,'Privacy Analyst Evaluation'!$A$46:$F$120,6,0),""))&amp;""</f>
        <v/>
      </c>
      <c r="G27" s="217"/>
      <c r="H27" s="216" t="str">
        <f>IFERROR(IF($H26+1&gt;'(backend scoring)'!$Q$335,"",$H26+1),"")</f>
        <v/>
      </c>
      <c r="I27" s="216" t="str">
        <f>_xlfn.XLOOKUP($H27,'(backend scoring)'!$S$2:$S$333,'(backend scoring)'!$A$2:$A$333,"")</f>
        <v/>
      </c>
      <c r="J27" s="216" t="str">
        <f>IFERROR(VLOOKUP($I27,'Institution Evaluation'!$A$55:$F$346,2,0),IFERROR(VLOOKUP($I27,'Privacy Analyst Evaluation'!$A$46:$F$120,2,0),""))</f>
        <v/>
      </c>
      <c r="K27" s="216" t="str">
        <f>IFERROR(VLOOKUP($I27,'Institution Evaluation'!$A$55:$F$346,3,0),IFERROR(VLOOKUP($I27,'Privacy Analyst Evaluation'!$A$46:$F$120,3,0),""))&amp;""</f>
        <v/>
      </c>
      <c r="L27" s="216" t="str">
        <f>IFERROR(VLOOKUP($I27,'Institution Evaluation'!$A$55:$F$346,4,0),IFERROR(VLOOKUP($I27,'Privacy Analyst Evaluation'!$A$46:$F$120,4,0),""))&amp;""</f>
        <v/>
      </c>
      <c r="M27" s="216" t="str">
        <f>IFERROR(VLOOKUP($I27,'Institution Evaluation'!$A$55:$F$346,6,0),IFERROR(VLOOKUP($I27,'Privacy Analyst Evaluation'!$A$46:$F$120,6,0),""))&amp;""</f>
        <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row>
    <row r="28" spans="1:338" ht="75" x14ac:dyDescent="0.3">
      <c r="A28" s="216">
        <f>IFERROR(IF($A27+1&gt;'(backend scoring)'!$T$335,"",$A27+1),"")</f>
        <v>4</v>
      </c>
      <c r="B28" s="216" t="str">
        <f>_xlfn.XLOOKUP($A28,'(backend scoring)'!$V$2:$V$333,'(backend scoring)'!$A$2:$A$333,"")</f>
        <v>ITAC-06</v>
      </c>
      <c r="C28" s="216" t="str">
        <f>IFERROR(VLOOKUP($B28,'Institution Evaluation'!$A$55:$F$346,2,0),IFERROR(VLOOKUP($B28,'Privacy Analyst Evaluation'!$A$46:$F$120,2,0),""))&amp;""</f>
        <v>Has a VPAT or ACR been created or updated for the solution and version under consideration within the past 12 months?*</v>
      </c>
      <c r="D28" s="216" t="str">
        <f>IFERROR(VLOOKUP($B28,'Institution Evaluation'!$A$55:$F$346,3,0),IFERROR(VLOOKUP($B28,'Privacy Analyst Evaluation'!$A$46:$F$120,3,0),""))&amp;""</f>
        <v>Yes</v>
      </c>
      <c r="E28" s="216" t="str">
        <f>IFERROR(VLOOKUP($B28,'Institution Evaluation'!$A$55:$F$346,4,0),IFERROR(VLOOKUP($B28,'Privacy Analyst Evaluation'!$A$46:$F$120,4,0),""))&amp;""</f>
        <v>Latest ACR is available from https://www.cirrusidentity.com/resources/trust-and-compliance-center</v>
      </c>
      <c r="F28" s="216" t="str">
        <f>IFERROR(VLOOKUP($B28,'Institution Evaluation'!$A$55:$F$346,6,0),IFERROR(VLOOKUP($B28,'Privacy Analyst Evaluation'!$A$46:$F$120,6,0),""))&amp;""</f>
        <v/>
      </c>
      <c r="G28" s="217"/>
      <c r="H28" s="216" t="str">
        <f>IFERROR(IF($H27+1&gt;'(backend scoring)'!$Q$335,"",$H27+1),"")</f>
        <v/>
      </c>
      <c r="I28" s="216" t="str">
        <f>_xlfn.XLOOKUP($H28,'(backend scoring)'!$S$2:$S$333,'(backend scoring)'!$A$2:$A$333,"")</f>
        <v/>
      </c>
      <c r="J28" s="216" t="str">
        <f>IFERROR(VLOOKUP($I28,'Institution Evaluation'!$A$55:$F$346,2,0),IFERROR(VLOOKUP($I28,'Privacy Analyst Evaluation'!$A$46:$F$120,2,0),""))</f>
        <v/>
      </c>
      <c r="K28" s="216" t="str">
        <f>IFERROR(VLOOKUP($I28,'Institution Evaluation'!$A$55:$F$346,3,0),IFERROR(VLOOKUP($I28,'Privacy Analyst Evaluation'!$A$46:$F$120,3,0),""))&amp;""</f>
        <v/>
      </c>
      <c r="L28" s="216" t="str">
        <f>IFERROR(VLOOKUP($I28,'Institution Evaluation'!$A$55:$F$346,4,0),IFERROR(VLOOKUP($I28,'Privacy Analyst Evaluation'!$A$46:$F$120,4,0),""))&amp;""</f>
        <v/>
      </c>
      <c r="M28" s="216" t="str">
        <f>IFERROR(VLOOKUP($I28,'Institution Evaluation'!$A$55:$F$346,6,0),IFERROR(VLOOKUP($I28,'Privacy Analyst Evaluation'!$A$46:$F$120,6,0),""))&amp;""</f>
        <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row>
    <row r="29" spans="1:338" ht="75" x14ac:dyDescent="0.3">
      <c r="A29" s="216">
        <f>IFERROR(IF($A28+1&gt;'(backend scoring)'!$T$335,"",$A28+1),"")</f>
        <v>5</v>
      </c>
      <c r="B29" s="216" t="str">
        <f>_xlfn.XLOOKUP($A29,'(backend scoring)'!$V$2:$V$333,'(backend scoring)'!$A$2:$A$333,"")</f>
        <v>ITAC-07</v>
      </c>
      <c r="C29" s="216" t="str">
        <f>IFERROR(VLOOKUP($B29,'Institution Evaluation'!$A$55:$F$346,2,0),IFERROR(VLOOKUP($B29,'Privacy Analyst Evaluation'!$A$46:$F$120,2,0),""))&amp;""</f>
        <v>Will your company agree to meet your stated accessibility standard or WCAG 2.1 AA as part of your contractual agreement for the solution?*</v>
      </c>
      <c r="D29" s="216" t="str">
        <f>IFERROR(VLOOKUP($B29,'Institution Evaluation'!$A$55:$F$346,3,0),IFERROR(VLOOKUP($B29,'Privacy Analyst Evaluation'!$A$46:$F$120,3,0),""))&amp;""</f>
        <v>Yes</v>
      </c>
      <c r="E29" s="216" t="str">
        <f>IFERROR(VLOOKUP($B29,'Institution Evaluation'!$A$55:$F$346,4,0),IFERROR(VLOOKUP($B29,'Privacy Analyst Evaluation'!$A$46:$F$120,4,0),""))&amp;""</f>
        <v/>
      </c>
      <c r="F29" s="216" t="str">
        <f>IFERROR(VLOOKUP($B29,'Institution Evaluation'!$A$55:$F$346,6,0),IFERROR(VLOOKUP($B29,'Privacy Analyst Evaluation'!$A$46:$F$120,6,0),""))&amp;""</f>
        <v/>
      </c>
      <c r="G29" s="217"/>
      <c r="H29" s="216" t="str">
        <f>IFERROR(IF($H28+1&gt;'(backend scoring)'!$Q$335,"",$H28+1),"")</f>
        <v/>
      </c>
      <c r="I29" s="216" t="str">
        <f>_xlfn.XLOOKUP($H29,'(backend scoring)'!$S$2:$S$333,'(backend scoring)'!$A$2:$A$333,"")</f>
        <v/>
      </c>
      <c r="J29" s="216" t="str">
        <f>IFERROR(VLOOKUP($I29,'Institution Evaluation'!$A$55:$F$346,2,0),IFERROR(VLOOKUP($I29,'Privacy Analyst Evaluation'!$A$46:$F$120,2,0),""))</f>
        <v/>
      </c>
      <c r="K29" s="216" t="str">
        <f>IFERROR(VLOOKUP($I29,'Institution Evaluation'!$A$55:$F$346,3,0),IFERROR(VLOOKUP($I29,'Privacy Analyst Evaluation'!$A$46:$F$120,3,0),""))&amp;""</f>
        <v/>
      </c>
      <c r="L29" s="216" t="str">
        <f>IFERROR(VLOOKUP($I29,'Institution Evaluation'!$A$55:$F$346,4,0),IFERROR(VLOOKUP($I29,'Privacy Analyst Evaluation'!$A$46:$F$120,4,0),""))&amp;""</f>
        <v/>
      </c>
      <c r="M29" s="216" t="str">
        <f>IFERROR(VLOOKUP($I29,'Institution Evaluation'!$A$55:$F$346,6,0),IFERROR(VLOOKUP($I29,'Privacy Analyst Evaluation'!$A$46:$F$120,6,0),""))&amp;""</f>
        <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row>
    <row r="30" spans="1:338" ht="30" x14ac:dyDescent="0.3">
      <c r="A30" s="216">
        <f>IFERROR(IF($A29+1&gt;'(backend scoring)'!$T$335,"",$A29+1),"")</f>
        <v>6</v>
      </c>
      <c r="B30" s="216" t="str">
        <f>_xlfn.XLOOKUP($A30,'(backend scoring)'!$V$2:$V$333,'(backend scoring)'!$A$2:$A$333,"")</f>
        <v>ITAC-08</v>
      </c>
      <c r="C30" s="216" t="str">
        <f>IFERROR(VLOOKUP($B30,'Institution Evaluation'!$A$55:$F$346,2,0),IFERROR(VLOOKUP($B30,'Privacy Analyst Evaluation'!$A$46:$F$120,2,0),""))&amp;""</f>
        <v>Does the solution substantially conform to WCAG 2.1 AA?*</v>
      </c>
      <c r="D30" s="216" t="str">
        <f>IFERROR(VLOOKUP($B30,'Institution Evaluation'!$A$55:$F$346,3,0),IFERROR(VLOOKUP($B30,'Privacy Analyst Evaluation'!$A$46:$F$120,3,0),""))&amp;""</f>
        <v>Yes</v>
      </c>
      <c r="E30" s="216" t="str">
        <f>IFERROR(VLOOKUP($B30,'Institution Evaluation'!$A$55:$F$346,4,0),IFERROR(VLOOKUP($B30,'Privacy Analyst Evaluation'!$A$46:$F$120,4,0),""))&amp;""</f>
        <v/>
      </c>
      <c r="F30" s="216" t="str">
        <f>IFERROR(VLOOKUP($B30,'Institution Evaluation'!$A$55:$F$346,6,0),IFERROR(VLOOKUP($B30,'Privacy Analyst Evaluation'!$A$46:$F$120,6,0),""))&amp;""</f>
        <v/>
      </c>
      <c r="G30" s="217"/>
      <c r="H30" s="216" t="str">
        <f>IFERROR(IF($H29+1&gt;'(backend scoring)'!$Q$335,"",$H29+1),"")</f>
        <v/>
      </c>
      <c r="I30" s="216" t="str">
        <f>_xlfn.XLOOKUP($H30,'(backend scoring)'!$S$2:$S$333,'(backend scoring)'!$A$2:$A$333,"")</f>
        <v/>
      </c>
      <c r="J30" s="216" t="str">
        <f>IFERROR(VLOOKUP($I30,'Institution Evaluation'!$A$55:$F$346,2,0),IFERROR(VLOOKUP($I30,'Privacy Analyst Evaluation'!$A$46:$F$120,2,0),""))</f>
        <v/>
      </c>
      <c r="K30" s="216" t="str">
        <f>IFERROR(VLOOKUP($I30,'Institution Evaluation'!$A$55:$F$346,3,0),IFERROR(VLOOKUP($I30,'Privacy Analyst Evaluation'!$A$46:$F$120,3,0),""))&amp;""</f>
        <v/>
      </c>
      <c r="L30" s="216" t="str">
        <f>IFERROR(VLOOKUP($I30,'Institution Evaluation'!$A$55:$F$346,4,0),IFERROR(VLOOKUP($I30,'Privacy Analyst Evaluation'!$A$46:$F$120,4,0),""))&amp;""</f>
        <v/>
      </c>
      <c r="M30" s="216" t="str">
        <f>IFERROR(VLOOKUP($I30,'Institution Evaluation'!$A$55:$F$346,6,0),IFERROR(VLOOKUP($I30,'Privacy Analyst Evaluation'!$A$46:$F$120,6,0),""))&amp;""</f>
        <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row>
    <row r="31" spans="1:338" ht="165" x14ac:dyDescent="0.3">
      <c r="A31" s="216">
        <f>IFERROR(IF($A30+1&gt;'(backend scoring)'!$T$335,"",$A30+1),"")</f>
        <v>7</v>
      </c>
      <c r="B31" s="216" t="str">
        <f>_xlfn.XLOOKUP($A31,'(backend scoring)'!$V$2:$V$333,'(backend scoring)'!$A$2:$A$333,"")</f>
        <v>ITAC-09</v>
      </c>
      <c r="C31" s="216" t="str">
        <f>IFERROR(VLOOKUP($B31,'Institution Evaluation'!$A$55:$F$346,2,0),IFERROR(VLOOKUP($B31,'Privacy Analyst Evaluation'!$A$46:$F$120,2,0),""))&amp;""</f>
        <v>Do you have a documented and implemented process for reporting and tracking accessibility issues?*</v>
      </c>
      <c r="D31" s="216" t="str">
        <f>IFERROR(VLOOKUP($B31,'Institution Evaluation'!$A$55:$F$346,3,0),IFERROR(VLOOKUP($B31,'Privacy Analyst Evaluation'!$A$46:$F$120,3,0),""))&amp;""</f>
        <v>Yes</v>
      </c>
      <c r="E31" s="216" t="str">
        <f>IFERROR(VLOOKUP($B31,'Institution Evaluation'!$A$55:$F$346,4,0),IFERROR(VLOOKUP($B31,'Privacy Analyst Evaluation'!$A$46:$F$120,4,0),""))&amp;""</f>
        <v>Reporting and tracking of accessibility issues is handled as part of the product support process. Generally issues are reported through the Cirrus Identity Support Center (https://www.cirrusidentity.com/resources/service-desk).</v>
      </c>
      <c r="F31" s="216" t="str">
        <f>IFERROR(VLOOKUP($B31,'Institution Evaluation'!$A$55:$F$346,6,0),IFERROR(VLOOKUP($B31,'Privacy Analyst Evaluation'!$A$46:$F$120,6,0),""))&amp;""</f>
        <v/>
      </c>
      <c r="G31" s="217"/>
      <c r="H31" s="216" t="str">
        <f>IFERROR(IF($H30+1&gt;'(backend scoring)'!$Q$335,"",$H30+1),"")</f>
        <v/>
      </c>
      <c r="I31" s="216" t="str">
        <f>_xlfn.XLOOKUP($H31,'(backend scoring)'!$S$2:$S$333,'(backend scoring)'!$A$2:$A$333,"")</f>
        <v/>
      </c>
      <c r="J31" s="216" t="str">
        <f>IFERROR(VLOOKUP($I31,'Institution Evaluation'!$A$55:$F$346,2,0),IFERROR(VLOOKUP($I31,'Privacy Analyst Evaluation'!$A$46:$F$120,2,0),""))</f>
        <v/>
      </c>
      <c r="K31" s="216" t="str">
        <f>IFERROR(VLOOKUP($I31,'Institution Evaluation'!$A$55:$F$346,3,0),IFERROR(VLOOKUP($I31,'Privacy Analyst Evaluation'!$A$46:$F$120,3,0),""))&amp;""</f>
        <v/>
      </c>
      <c r="L31" s="216" t="str">
        <f>IFERROR(VLOOKUP($I31,'Institution Evaluation'!$A$55:$F$346,4,0),IFERROR(VLOOKUP($I31,'Privacy Analyst Evaluation'!$A$46:$F$120,4,0),""))&amp;""</f>
        <v/>
      </c>
      <c r="M31" s="216" t="str">
        <f>IFERROR(VLOOKUP($I31,'Institution Evaluation'!$A$55:$F$346,6,0),IFERROR(VLOOKUP($I31,'Privacy Analyst Evaluation'!$A$46:$F$120,6,0),""))&amp;""</f>
        <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row>
    <row r="32" spans="1:338" ht="409.5" x14ac:dyDescent="0.3">
      <c r="A32" s="216">
        <f>IFERROR(IF($A31+1&gt;'(backend scoring)'!$T$335,"",$A31+1),"")</f>
        <v>8</v>
      </c>
      <c r="B32" s="216" t="str">
        <f>_xlfn.XLOOKUP($A32,'(backend scoring)'!$V$2:$V$333,'(backend scoring)'!$A$2:$A$333,"")</f>
        <v>THRD-02</v>
      </c>
      <c r="C32" s="216" t="str">
        <f>IFERROR(VLOOKUP($B32,'Institution Evaluation'!$A$55:$F$346,2,0),IFERROR(VLOOKUP($B32,'Privacy Analyst Evaluation'!$A$46:$F$120,2,0),""))&amp;""</f>
        <v>Do you have contractual language in place with third parties governing access to institutional data?*</v>
      </c>
      <c r="D32" s="216" t="str">
        <f>IFERROR(VLOOKUP($B32,'Institution Evaluation'!$A$55:$F$346,3,0),IFERROR(VLOOKUP($B32,'Privacy Analyst Evaluation'!$A$46:$F$120,3,0),""))&amp;""</f>
        <v>Yes</v>
      </c>
      <c r="E32" s="216" t="str">
        <f>IFERROR(VLOOKUP($B32,'Institution Evaluation'!$A$55:$F$346,4,0),IFERROR(VLOOKUP($B32,'Privacy Analyst Evaluation'!$A$46:$F$120,4,0),""))&amp;""</f>
        <v xml:space="preserve">The following third parties have access to institutional data:
1) Amazon Web Services (AWS) - Cirrus Identity runs all production loads using AWS. AWS will have access to stored institutional data and institutional data that is in transit between the end user and the institution.
2) BitWarden - Credentials for customer APIs and test accounts are stored in the LastPass service.
3) Bitbucket and GitHub - Cirrus Identity uses continuous integration and continuous deployment (CI/CD) practices to deliver our solutions. Our CI/CD pipeline utilizes git repositories for these practices. The CI/CD pipeline contains institutional data (for example metadata) that is stored at rest using git and encryption extensions for git.
4) Rapid7 - Cirrus Identity contracts with external vendor to do vulnerability assessment. 
5) Mailgun Email API and Managed Service - Unless an institution sets up the email handler to route mail through their email infrastructure, the mail generated from Cirrus Invitation Service, Cirrus Account Linking, and Cirrus External Identity Provider will be sent using the hosted service Mailgun. To perform this function, Mailgun will have access to the content of the messages sent.
6) Vanta is a service that is integrated with, compiles, and monitors Cirrus configuration and data in various systems (such as AWS, GitHub, Bitbucket and others). This data is used for ongoing compliance and auditing functions.
Cirrus Identity also utilizes the open source SimpleSAMLphp project (https://simplesamlphp.org/) as a foundational component of Cirrus Identity solutions. SimpleSAMLphp is a recognized and vetted standards based implementation of the SAML protocol. </v>
      </c>
      <c r="F32" s="216" t="str">
        <f>IFERROR(VLOOKUP($B32,'Institution Evaluation'!$A$55:$F$346,6,0),IFERROR(VLOOKUP($B32,'Privacy Analyst Evaluation'!$A$46:$F$120,6,0),""))&amp;""</f>
        <v/>
      </c>
      <c r="G32" s="217"/>
      <c r="H32" s="216" t="str">
        <f>IFERROR(IF($H31+1&gt;'(backend scoring)'!$Q$335,"",$H31+1),"")</f>
        <v/>
      </c>
      <c r="I32" s="216" t="str">
        <f>_xlfn.XLOOKUP($H32,'(backend scoring)'!$S$2:$S$333,'(backend scoring)'!$A$2:$A$333,"")</f>
        <v/>
      </c>
      <c r="J32" s="216" t="str">
        <f>IFERROR(VLOOKUP($I32,'Institution Evaluation'!$A$55:$F$346,2,0),IFERROR(VLOOKUP($I32,'Privacy Analyst Evaluation'!$A$46:$F$120,2,0),""))</f>
        <v/>
      </c>
      <c r="K32" s="216" t="str">
        <f>IFERROR(VLOOKUP($I32,'Institution Evaluation'!$A$55:$F$346,3,0),IFERROR(VLOOKUP($I32,'Privacy Analyst Evaluation'!$A$46:$F$120,3,0),""))&amp;""</f>
        <v/>
      </c>
      <c r="L32" s="216" t="str">
        <f>IFERROR(VLOOKUP($I32,'Institution Evaluation'!$A$55:$F$346,4,0),IFERROR(VLOOKUP($I32,'Privacy Analyst Evaluation'!$A$46:$F$120,4,0),""))&amp;""</f>
        <v/>
      </c>
      <c r="M32" s="216" t="str">
        <f>IFERROR(VLOOKUP($I32,'Institution Evaluation'!$A$55:$F$346,6,0),IFERROR(VLOOKUP($I32,'Privacy Analyst Evaluation'!$A$46:$F$120,6,0),""))&amp;""</f>
        <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row>
    <row r="33" spans="1:338" ht="90" x14ac:dyDescent="0.3">
      <c r="A33" s="216">
        <f>IFERROR(IF($A32+1&gt;'(backend scoring)'!$T$335,"",$A32+1),"")</f>
        <v>9</v>
      </c>
      <c r="B33" s="216" t="str">
        <f>_xlfn.XLOOKUP($A33,'(backend scoring)'!$V$2:$V$333,'(backend scoring)'!$A$2:$A$333,"")</f>
        <v>THRD-01</v>
      </c>
      <c r="C33" s="216" t="str">
        <f>IFERROR(VLOOKUP($B33,'Institution Evaluation'!$A$55:$F$346,2,0),IFERROR(VLOOKUP($B33,'Privacy Analyst Evaluation'!$A$46:$F$120,2,0),""))&amp;""</f>
        <v>Do you perform security assessments of third-party companies with which you share data (e.g., hosting providers, cloud services, PaaS, IaaS, SaaS)?*</v>
      </c>
      <c r="D33" s="216" t="str">
        <f>IFERROR(VLOOKUP($B33,'Institution Evaluation'!$A$55:$F$346,3,0),IFERROR(VLOOKUP($B33,'Privacy Analyst Evaluation'!$A$46:$F$120,3,0),""))&amp;""</f>
        <v>Yes</v>
      </c>
      <c r="E33" s="216" t="str">
        <f>IFERROR(VLOOKUP($B33,'Institution Evaluation'!$A$55:$F$346,4,0),IFERROR(VLOOKUP($B33,'Privacy Analyst Evaluation'!$A$46:$F$120,4,0),""))&amp;""</f>
        <v>The Third-Party Management Policy and associated standard operating procedures are available upon request.</v>
      </c>
      <c r="F33" s="216" t="str">
        <f>IFERROR(VLOOKUP($B33,'Institution Evaluation'!$A$55:$F$346,6,0),IFERROR(VLOOKUP($B33,'Privacy Analyst Evaluation'!$A$46:$F$120,6,0),""))&amp;""</f>
        <v/>
      </c>
      <c r="G33" s="217"/>
      <c r="H33" s="216" t="str">
        <f>IFERROR(IF($H32+1&gt;'(backend scoring)'!$Q$335,"",$H32+1),"")</f>
        <v/>
      </c>
      <c r="I33" s="216" t="str">
        <f>_xlfn.XLOOKUP($H33,'(backend scoring)'!$S$2:$S$333,'(backend scoring)'!$A$2:$A$333,"")</f>
        <v/>
      </c>
      <c r="J33" s="216" t="str">
        <f>IFERROR(VLOOKUP($I33,'Institution Evaluation'!$A$55:$F$346,2,0),IFERROR(VLOOKUP($I33,'Privacy Analyst Evaluation'!$A$46:$F$120,2,0),""))</f>
        <v/>
      </c>
      <c r="K33" s="216" t="str">
        <f>IFERROR(VLOOKUP($I33,'Institution Evaluation'!$A$55:$F$346,3,0),IFERROR(VLOOKUP($I33,'Privacy Analyst Evaluation'!$A$46:$F$120,3,0),""))&amp;""</f>
        <v/>
      </c>
      <c r="L33" s="216" t="str">
        <f>IFERROR(VLOOKUP($I33,'Institution Evaluation'!$A$55:$F$346,4,0),IFERROR(VLOOKUP($I33,'Privacy Analyst Evaluation'!$A$46:$F$120,4,0),""))&amp;""</f>
        <v/>
      </c>
      <c r="M33" s="216" t="str">
        <f>IFERROR(VLOOKUP($I33,'Institution Evaluation'!$A$55:$F$346,6,0),IFERROR(VLOOKUP($I33,'Privacy Analyst Evaluation'!$A$46:$F$120,6,0),""))&amp;""</f>
        <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row>
    <row r="34" spans="1:338" ht="60" x14ac:dyDescent="0.3">
      <c r="A34" s="216">
        <f>IFERROR(IF($A33+1&gt;'(backend scoring)'!$T$335,"",$A33+1),"")</f>
        <v>10</v>
      </c>
      <c r="B34" s="216" t="str">
        <f>_xlfn.XLOOKUP($A34,'(backend scoring)'!$V$2:$V$333,'(backend scoring)'!$A$2:$A$333,"")</f>
        <v>THRD-03</v>
      </c>
      <c r="C34" s="216" t="str">
        <f>IFERROR(VLOOKUP($B34,'Institution Evaluation'!$A$55:$F$346,2,0),IFERROR(VLOOKUP($B34,'Privacy Analyst Evaluation'!$A$46:$F$120,2,0),""))&amp;""</f>
        <v>Do the contracts in place with these third parties address liability in the event of a data breach?*</v>
      </c>
      <c r="D34" s="216" t="str">
        <f>IFERROR(VLOOKUP($B34,'Institution Evaluation'!$A$55:$F$346,3,0),IFERROR(VLOOKUP($B34,'Privacy Analyst Evaluation'!$A$46:$F$120,3,0),""))&amp;""</f>
        <v>Yes</v>
      </c>
      <c r="E34" s="216" t="str">
        <f>IFERROR(VLOOKUP($B34,'Institution Evaluation'!$A$55:$F$346,4,0),IFERROR(VLOOKUP($B34,'Privacy Analyst Evaluation'!$A$46:$F$120,4,0),""))&amp;""</f>
        <v/>
      </c>
      <c r="F34" s="216" t="str">
        <f>IFERROR(VLOOKUP($B34,'Institution Evaluation'!$A$55:$F$346,6,0),IFERROR(VLOOKUP($B34,'Privacy Analyst Evaluation'!$A$46:$F$120,6,0),""))&amp;""</f>
        <v/>
      </c>
      <c r="G34" s="217"/>
      <c r="H34" s="216" t="str">
        <f>IFERROR(IF($H33+1&gt;'(backend scoring)'!$Q$335,"",$H33+1),"")</f>
        <v/>
      </c>
      <c r="I34" s="216" t="str">
        <f>_xlfn.XLOOKUP($H34,'(backend scoring)'!$S$2:$S$333,'(backend scoring)'!$A$2:$A$333,"")</f>
        <v/>
      </c>
      <c r="J34" s="216" t="str">
        <f>IFERROR(VLOOKUP($I34,'Institution Evaluation'!$A$55:$F$346,2,0),IFERROR(VLOOKUP($I34,'Privacy Analyst Evaluation'!$A$46:$F$120,2,0),""))</f>
        <v/>
      </c>
      <c r="K34" s="216" t="str">
        <f>IFERROR(VLOOKUP($I34,'Institution Evaluation'!$A$55:$F$346,3,0),IFERROR(VLOOKUP($I34,'Privacy Analyst Evaluation'!$A$46:$F$120,3,0),""))&amp;""</f>
        <v/>
      </c>
      <c r="L34" s="216" t="str">
        <f>IFERROR(VLOOKUP($I34,'Institution Evaluation'!$A$55:$F$346,4,0),IFERROR(VLOOKUP($I34,'Privacy Analyst Evaluation'!$A$46:$F$120,4,0),""))&amp;""</f>
        <v/>
      </c>
      <c r="M34" s="216" t="str">
        <f>IFERROR(VLOOKUP($I34,'Institution Evaluation'!$A$55:$F$346,6,0),IFERROR(VLOOKUP($I34,'Privacy Analyst Evaluation'!$A$46:$F$120,6,0),""))&amp;""</f>
        <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row>
    <row r="35" spans="1:338" ht="75" x14ac:dyDescent="0.3">
      <c r="A35" s="216">
        <f>IFERROR(IF($A34+1&gt;'(backend scoring)'!$T$335,"",$A34+1),"")</f>
        <v>11</v>
      </c>
      <c r="B35" s="216" t="str">
        <f>_xlfn.XLOOKUP($A35,'(backend scoring)'!$V$2:$V$333,'(backend scoring)'!$A$2:$A$333,"")</f>
        <v>THRD-04</v>
      </c>
      <c r="C35" s="216" t="str">
        <f>IFERROR(VLOOKUP($B35,'Institution Evaluation'!$A$55:$F$346,2,0),IFERROR(VLOOKUP($B35,'Privacy Analyst Evaluation'!$A$46:$F$120,2,0),""))&amp;""</f>
        <v>Do you have an implemented third-party management strategy?*</v>
      </c>
      <c r="D35" s="216" t="str">
        <f>IFERROR(VLOOKUP($B35,'Institution Evaluation'!$A$55:$F$346,3,0),IFERROR(VLOOKUP($B35,'Privacy Analyst Evaluation'!$A$46:$F$120,3,0),""))&amp;""</f>
        <v>Yes</v>
      </c>
      <c r="E35" s="216" t="str">
        <f>IFERROR(VLOOKUP($B35,'Institution Evaluation'!$A$55:$F$346,4,0),IFERROR(VLOOKUP($B35,'Privacy Analyst Evaluation'!$A$46:$F$120,4,0),""))&amp;""</f>
        <v>The Third-Party Management Policy and associated standard operating procedures are available upon request.</v>
      </c>
      <c r="F35" s="216" t="str">
        <f>IFERROR(VLOOKUP($B35,'Institution Evaluation'!$A$55:$F$346,6,0),IFERROR(VLOOKUP($B35,'Privacy Analyst Evaluation'!$A$46:$F$120,6,0),""))&amp;""</f>
        <v/>
      </c>
      <c r="G35" s="217"/>
      <c r="H35" s="216" t="str">
        <f>IFERROR(IF($H34+1&gt;'(backend scoring)'!$Q$335,"",$H34+1),"")</f>
        <v/>
      </c>
      <c r="I35" s="216" t="str">
        <f>_xlfn.XLOOKUP($H35,'(backend scoring)'!$S$2:$S$333,'(backend scoring)'!$A$2:$A$333,"")</f>
        <v/>
      </c>
      <c r="J35" s="216" t="str">
        <f>IFERROR(VLOOKUP($I35,'Institution Evaluation'!$A$55:$F$346,2,0),IFERROR(VLOOKUP($I35,'Privacy Analyst Evaluation'!$A$46:$F$120,2,0),""))</f>
        <v/>
      </c>
      <c r="K35" s="216" t="str">
        <f>IFERROR(VLOOKUP($I35,'Institution Evaluation'!$A$55:$F$346,3,0),IFERROR(VLOOKUP($I35,'Privacy Analyst Evaluation'!$A$46:$F$120,3,0),""))&amp;""</f>
        <v/>
      </c>
      <c r="L35" s="216" t="str">
        <f>IFERROR(VLOOKUP($I35,'Institution Evaluation'!$A$55:$F$346,4,0),IFERROR(VLOOKUP($I35,'Privacy Analyst Evaluation'!$A$46:$F$120,4,0),""))&amp;""</f>
        <v/>
      </c>
      <c r="M35" s="216" t="str">
        <f>IFERROR(VLOOKUP($I35,'Institution Evaluation'!$A$55:$F$346,6,0),IFERROR(VLOOKUP($I35,'Privacy Analyst Evaluation'!$A$46:$F$120,6,0),""))&amp;""</f>
        <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row>
    <row r="36" spans="1:338" ht="45" x14ac:dyDescent="0.3">
      <c r="A36" s="216">
        <f>IFERROR(IF($A35+1&gt;'(backend scoring)'!$T$335,"",$A35+1),"")</f>
        <v>12</v>
      </c>
      <c r="B36" s="216" t="str">
        <f>_xlfn.XLOOKUP($A36,'(backend scoring)'!$V$2:$V$333,'(backend scoring)'!$A$2:$A$333,"")</f>
        <v>CONS-01</v>
      </c>
      <c r="C36" s="216" t="str">
        <f>IFERROR(VLOOKUP($B36,'Institution Evaluation'!$A$55:$F$346,2,0),IFERROR(VLOOKUP($B36,'Privacy Analyst Evaluation'!$A$46:$F$120,2,0),""))&amp;""</f>
        <v>Will the consultant require access to the institution's network resources?*</v>
      </c>
      <c r="D36" s="216" t="str">
        <f>IFERROR(VLOOKUP($B36,'Institution Evaluation'!$A$55:$F$346,3,0),IFERROR(VLOOKUP($B36,'Privacy Analyst Evaluation'!$A$46:$F$120,3,0),""))&amp;""</f>
        <v/>
      </c>
      <c r="E36" s="216" t="str">
        <f>IFERROR(VLOOKUP($B36,'Institution Evaluation'!$A$55:$F$346,4,0),IFERROR(VLOOKUP($B36,'Privacy Analyst Evaluation'!$A$46:$F$120,4,0),""))&amp;""</f>
        <v/>
      </c>
      <c r="F36" s="216" t="str">
        <f>IFERROR(VLOOKUP($B36,'Institution Evaluation'!$A$55:$F$346,6,0),IFERROR(VLOOKUP($B36,'Privacy Analyst Evaluation'!$A$46:$F$120,6,0),""))&amp;""</f>
        <v/>
      </c>
      <c r="G36" s="217"/>
      <c r="H36" s="216" t="str">
        <f>IFERROR(IF($H35+1&gt;'(backend scoring)'!$Q$335,"",$H35+1),"")</f>
        <v/>
      </c>
      <c r="I36" s="216" t="str">
        <f>_xlfn.XLOOKUP($H36,'(backend scoring)'!$S$2:$S$333,'(backend scoring)'!$A$2:$A$333,"")</f>
        <v/>
      </c>
      <c r="J36" s="216" t="str">
        <f>IFERROR(VLOOKUP($I36,'Institution Evaluation'!$A$55:$F$346,2,0),IFERROR(VLOOKUP($I36,'Privacy Analyst Evaluation'!$A$46:$F$120,2,0),""))</f>
        <v/>
      </c>
      <c r="K36" s="216" t="str">
        <f>IFERROR(VLOOKUP($I36,'Institution Evaluation'!$A$55:$F$346,3,0),IFERROR(VLOOKUP($I36,'Privacy Analyst Evaluation'!$A$46:$F$120,3,0),""))&amp;""</f>
        <v/>
      </c>
      <c r="L36" s="216" t="str">
        <f>IFERROR(VLOOKUP($I36,'Institution Evaluation'!$A$55:$F$346,4,0),IFERROR(VLOOKUP($I36,'Privacy Analyst Evaluation'!$A$46:$F$120,4,0),""))&amp;""</f>
        <v/>
      </c>
      <c r="M36" s="216" t="str">
        <f>IFERROR(VLOOKUP($I36,'Institution Evaluation'!$A$55:$F$346,6,0),IFERROR(VLOOKUP($I36,'Privacy Analyst Evaluation'!$A$46:$F$120,6,0),""))&amp;""</f>
        <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row>
    <row r="37" spans="1:338" ht="45" x14ac:dyDescent="0.3">
      <c r="A37" s="216">
        <f>IFERROR(IF($A36+1&gt;'(backend scoring)'!$T$335,"",$A36+1),"")</f>
        <v>13</v>
      </c>
      <c r="B37" s="216" t="str">
        <f>_xlfn.XLOOKUP($A37,'(backend scoring)'!$V$2:$V$333,'(backend scoring)'!$A$2:$A$333,"")</f>
        <v>CONS-02</v>
      </c>
      <c r="C37" s="216" t="str">
        <f>IFERROR(VLOOKUP($B37,'Institution Evaluation'!$A$55:$F$346,2,0),IFERROR(VLOOKUP($B37,'Privacy Analyst Evaluation'!$A$46:$F$120,2,0),""))&amp;""</f>
        <v>Has the consultant received training on (sensitive, HIPAA, PCI, etc.) data handling?*</v>
      </c>
      <c r="D37" s="216" t="str">
        <f>IFERROR(VLOOKUP($B37,'Institution Evaluation'!$A$55:$F$346,3,0),IFERROR(VLOOKUP($B37,'Privacy Analyst Evaluation'!$A$46:$F$120,3,0),""))&amp;""</f>
        <v/>
      </c>
      <c r="E37" s="216" t="str">
        <f>IFERROR(VLOOKUP($B37,'Institution Evaluation'!$A$55:$F$346,4,0),IFERROR(VLOOKUP($B37,'Privacy Analyst Evaluation'!$A$46:$F$120,4,0),""))&amp;""</f>
        <v/>
      </c>
      <c r="F37" s="216" t="str">
        <f>IFERROR(VLOOKUP($B37,'Institution Evaluation'!$A$55:$F$346,6,0),IFERROR(VLOOKUP($B37,'Privacy Analyst Evaluation'!$A$46:$F$120,6,0),""))&amp;""</f>
        <v/>
      </c>
      <c r="G37" s="217"/>
      <c r="H37" s="216" t="str">
        <f>IFERROR(IF($H36+1&gt;'(backend scoring)'!$Q$335,"",$H36+1),"")</f>
        <v/>
      </c>
      <c r="I37" s="216" t="str">
        <f>_xlfn.XLOOKUP($H37,'(backend scoring)'!$S$2:$S$333,'(backend scoring)'!$A$2:$A$333,"")</f>
        <v/>
      </c>
      <c r="J37" s="216" t="str">
        <f>IFERROR(VLOOKUP($I37,'Institution Evaluation'!$A$55:$F$346,2,0),IFERROR(VLOOKUP($I37,'Privacy Analyst Evaluation'!$A$46:$F$120,2,0),""))</f>
        <v/>
      </c>
      <c r="K37" s="216" t="str">
        <f>IFERROR(VLOOKUP($I37,'Institution Evaluation'!$A$55:$F$346,3,0),IFERROR(VLOOKUP($I37,'Privacy Analyst Evaluation'!$A$46:$F$120,3,0),""))&amp;""</f>
        <v/>
      </c>
      <c r="L37" s="216" t="str">
        <f>IFERROR(VLOOKUP($I37,'Institution Evaluation'!$A$55:$F$346,4,0),IFERROR(VLOOKUP($I37,'Privacy Analyst Evaluation'!$A$46:$F$120,4,0),""))&amp;""</f>
        <v/>
      </c>
      <c r="M37" s="216" t="str">
        <f>IFERROR(VLOOKUP($I37,'Institution Evaluation'!$A$55:$F$346,6,0),IFERROR(VLOOKUP($I37,'Privacy Analyst Evaluation'!$A$46:$F$120,6,0),""))&amp;""</f>
        <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row>
    <row r="38" spans="1:338" ht="53.25" customHeight="1" x14ac:dyDescent="0.3">
      <c r="A38" s="216">
        <f>IFERROR(IF($A37+1&gt;'(backend scoring)'!$T$335,"",$A37+1),"")</f>
        <v>14</v>
      </c>
      <c r="B38" s="216" t="str">
        <f>_xlfn.XLOOKUP($A38,'(backend scoring)'!$V$2:$V$333,'(backend scoring)'!$A$2:$A$333,"")</f>
        <v>CONS-03</v>
      </c>
      <c r="C38" s="216" t="str">
        <f>IFERROR(VLOOKUP($B38,'Institution Evaluation'!$A$55:$F$346,2,0),IFERROR(VLOOKUP($B38,'Privacy Analyst Evaluation'!$A$46:$F$120,2,0),""))&amp;""</f>
        <v>Is the data encrypted (at rest) while in the consultant's possession?*</v>
      </c>
      <c r="D38" s="216" t="str">
        <f>IFERROR(VLOOKUP($B38,'Institution Evaluation'!$A$55:$F$346,3,0),IFERROR(VLOOKUP($B38,'Privacy Analyst Evaluation'!$A$46:$F$120,3,0),""))&amp;""</f>
        <v/>
      </c>
      <c r="E38" s="216" t="str">
        <f>IFERROR(VLOOKUP($B38,'Institution Evaluation'!$A$55:$F$346,4,0),IFERROR(VLOOKUP($B38,'Privacy Analyst Evaluation'!$A$46:$F$120,4,0),""))&amp;""</f>
        <v/>
      </c>
      <c r="F38" s="216" t="str">
        <f>IFERROR(VLOOKUP($B38,'Institution Evaluation'!$A$55:$F$346,6,0),IFERROR(VLOOKUP($B38,'Privacy Analyst Evaluation'!$A$46:$F$120,6,0),""))&amp;""</f>
        <v/>
      </c>
      <c r="G38" s="217"/>
      <c r="H38" s="216" t="str">
        <f>IFERROR(IF($H37+1&gt;'(backend scoring)'!$Q$335,"",$H37+1),"")</f>
        <v/>
      </c>
      <c r="I38" s="216" t="str">
        <f>_xlfn.XLOOKUP($H38,'(backend scoring)'!$S$2:$S$333,'(backend scoring)'!$A$2:$A$333,"")</f>
        <v/>
      </c>
      <c r="J38" s="216" t="str">
        <f>IFERROR(VLOOKUP($I38,'Institution Evaluation'!$A$55:$F$346,2,0),IFERROR(VLOOKUP($I38,'Privacy Analyst Evaluation'!$A$46:$F$120,2,0),""))</f>
        <v/>
      </c>
      <c r="K38" s="216" t="str">
        <f>IFERROR(VLOOKUP($I38,'Institution Evaluation'!$A$55:$F$346,3,0),IFERROR(VLOOKUP($I38,'Privacy Analyst Evaluation'!$A$46:$F$120,3,0),""))&amp;""</f>
        <v/>
      </c>
      <c r="L38" s="216" t="str">
        <f>IFERROR(VLOOKUP($I38,'Institution Evaluation'!$A$55:$F$346,4,0),IFERROR(VLOOKUP($I38,'Privacy Analyst Evaluation'!$A$46:$F$120,4,0),""))&amp;""</f>
        <v/>
      </c>
      <c r="M38" s="216" t="str">
        <f>IFERROR(VLOOKUP($I38,'Institution Evaluation'!$A$55:$F$346,6,0),IFERROR(VLOOKUP($I38,'Privacy Analyst Evaluation'!$A$46:$F$120,6,0),""))&amp;""</f>
        <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row>
    <row r="39" spans="1:338" ht="30" x14ac:dyDescent="0.3">
      <c r="A39" s="216">
        <f>IFERROR(IF($A38+1&gt;'(backend scoring)'!$T$335,"",$A38+1),"")</f>
        <v>15</v>
      </c>
      <c r="B39" s="216" t="str">
        <f>_xlfn.XLOOKUP($A39,'(backend scoring)'!$V$2:$V$333,'(backend scoring)'!$A$2:$A$333,"")</f>
        <v>CONS-04</v>
      </c>
      <c r="C39" s="216" t="str">
        <f>IFERROR(VLOOKUP($B39,'Institution Evaluation'!$A$55:$F$346,2,0),IFERROR(VLOOKUP($B39,'Privacy Analyst Evaluation'!$A$46:$F$120,2,0),""))&amp;""</f>
        <v>Can access be restricted based on source IP address?*</v>
      </c>
      <c r="D39" s="216" t="str">
        <f>IFERROR(VLOOKUP($B39,'Institution Evaluation'!$A$55:$F$346,3,0),IFERROR(VLOOKUP($B39,'Privacy Analyst Evaluation'!$A$46:$F$120,3,0),""))&amp;""</f>
        <v/>
      </c>
      <c r="E39" s="216" t="str">
        <f>IFERROR(VLOOKUP($B39,'Institution Evaluation'!$A$55:$F$346,4,0),IFERROR(VLOOKUP($B39,'Privacy Analyst Evaluation'!$A$46:$F$120,4,0),""))&amp;""</f>
        <v/>
      </c>
      <c r="F39" s="216" t="str">
        <f>IFERROR(VLOOKUP($B39,'Institution Evaluation'!$A$55:$F$346,6,0),IFERROR(VLOOKUP($B39,'Privacy Analyst Evaluation'!$A$46:$F$120,6,0),""))&amp;""</f>
        <v/>
      </c>
      <c r="G39" s="217"/>
      <c r="H39" s="216" t="str">
        <f>IFERROR(IF($H38+1&gt;'(backend scoring)'!$Q$335,"",$H38+1),"")</f>
        <v/>
      </c>
      <c r="I39" s="216" t="str">
        <f>_xlfn.XLOOKUP($H39,'(backend scoring)'!$S$2:$S$333,'(backend scoring)'!$A$2:$A$333,"")</f>
        <v/>
      </c>
      <c r="J39" s="216" t="str">
        <f>IFERROR(VLOOKUP($I39,'Institution Evaluation'!$A$55:$F$346,2,0),IFERROR(VLOOKUP($I39,'Privacy Analyst Evaluation'!$A$46:$F$120,2,0),""))</f>
        <v/>
      </c>
      <c r="K39" s="216" t="str">
        <f>IFERROR(VLOOKUP($I39,'Institution Evaluation'!$A$55:$F$346,3,0),IFERROR(VLOOKUP($I39,'Privacy Analyst Evaluation'!$A$46:$F$120,3,0),""))&amp;""</f>
        <v/>
      </c>
      <c r="L39" s="216" t="str">
        <f>IFERROR(VLOOKUP($I39,'Institution Evaluation'!$A$55:$F$346,4,0),IFERROR(VLOOKUP($I39,'Privacy Analyst Evaluation'!$A$46:$F$120,4,0),""))&amp;""</f>
        <v/>
      </c>
      <c r="M39" s="216" t="str">
        <f>IFERROR(VLOOKUP($I39,'Institution Evaluation'!$A$55:$F$346,6,0),IFERROR(VLOOKUP($I39,'Privacy Analyst Evaluation'!$A$46:$F$120,6,0),""))&amp;""</f>
        <v/>
      </c>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row>
    <row r="40" spans="1:338" ht="120" x14ac:dyDescent="0.3">
      <c r="A40" s="216">
        <f>IFERROR(IF($A39+1&gt;'(backend scoring)'!$T$335,"",$A39+1),"")</f>
        <v>16</v>
      </c>
      <c r="B40" s="216" t="str">
        <f>_xlfn.XLOOKUP($A40,'(backend scoring)'!$V$2:$V$333,'(backend scoring)'!$A$2:$A$333,"")</f>
        <v>APPL-01</v>
      </c>
      <c r="C40" s="216" t="str">
        <f>IFERROR(VLOOKUP($B40,'Institution Evaluation'!$A$55:$F$346,2,0),IFERROR(VLOOKUP($B40,'Privacy Analyst Evaluation'!$A$46:$F$120,2,0),""))&amp;""</f>
        <v>Are access controls for institutional accounts based on structured rules, such as role-based access control (RBAC), attribute-based access control (ABAC), or policy-based access control (PBAC)?*</v>
      </c>
      <c r="D40" s="216" t="str">
        <f>IFERROR(VLOOKUP($B40,'Institution Evaluation'!$A$55:$F$346,3,0),IFERROR(VLOOKUP($B40,'Privacy Analyst Evaluation'!$A$46:$F$120,3,0),""))&amp;""</f>
        <v>Yes</v>
      </c>
      <c r="E40" s="216" t="str">
        <f>IFERROR(VLOOKUP($B40,'Institution Evaluation'!$A$55:$F$346,4,0),IFERROR(VLOOKUP($B40,'Privacy Analyst Evaluation'!$A$46:$F$120,4,0),""))&amp;""</f>
        <v>The Cirrus Identity Products are used to provide access to downstream service providers. Depending on service provider; RBAC, ABAC, or PBAC can be supported.</v>
      </c>
      <c r="F40" s="216" t="str">
        <f>IFERROR(VLOOKUP($B40,'Institution Evaluation'!$A$55:$F$346,6,0),IFERROR(VLOOKUP($B40,'Privacy Analyst Evaluation'!$A$46:$F$120,6,0),""))&amp;""</f>
        <v/>
      </c>
      <c r="G40" s="217"/>
      <c r="H40" s="216" t="str">
        <f>IFERROR(IF($H39+1&gt;'(backend scoring)'!$Q$335,"",$H39+1),"")</f>
        <v/>
      </c>
      <c r="I40" s="216" t="str">
        <f>_xlfn.XLOOKUP($H40,'(backend scoring)'!$S$2:$S$333,'(backend scoring)'!$A$2:$A$333,"")</f>
        <v/>
      </c>
      <c r="J40" s="216" t="str">
        <f>IFERROR(VLOOKUP($I40,'Institution Evaluation'!$A$55:$F$346,2,0),IFERROR(VLOOKUP($I40,'Privacy Analyst Evaluation'!$A$46:$F$120,2,0),""))</f>
        <v/>
      </c>
      <c r="K40" s="216" t="str">
        <f>IFERROR(VLOOKUP($I40,'Institution Evaluation'!$A$55:$F$346,3,0),IFERROR(VLOOKUP($I40,'Privacy Analyst Evaluation'!$A$46:$F$120,3,0),""))&amp;""</f>
        <v/>
      </c>
      <c r="L40" s="216" t="str">
        <f>IFERROR(VLOOKUP($I40,'Institution Evaluation'!$A$55:$F$346,4,0),IFERROR(VLOOKUP($I40,'Privacy Analyst Evaluation'!$A$46:$F$120,4,0),""))&amp;""</f>
        <v/>
      </c>
      <c r="M40" s="216" t="str">
        <f>IFERROR(VLOOKUP($I40,'Institution Evaluation'!$A$55:$F$346,6,0),IFERROR(VLOOKUP($I40,'Privacy Analyst Evaluation'!$A$46:$F$120,6,0),""))&amp;""</f>
        <v/>
      </c>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row>
    <row r="41" spans="1:338" ht="75" x14ac:dyDescent="0.3">
      <c r="A41" s="216">
        <f>IFERROR(IF($A40+1&gt;'(backend scoring)'!$T$335,"",$A40+1),"")</f>
        <v>17</v>
      </c>
      <c r="B41" s="216" t="str">
        <f>_xlfn.XLOOKUP($A41,'(backend scoring)'!$V$2:$V$333,'(backend scoring)'!$A$2:$A$333,"")</f>
        <v>APPL-02</v>
      </c>
      <c r="C41" s="216" t="str">
        <f>IFERROR(VLOOKUP($B41,'Institution Evaluation'!$A$55:$F$346,2,0),IFERROR(VLOOKUP($B41,'Privacy Analyst Evaluation'!$A$46:$F$120,2,0),""))&amp;""</f>
        <v>Are you using a web application firewall (WAF)?*</v>
      </c>
      <c r="D41" s="216" t="str">
        <f>IFERROR(VLOOKUP($B41,'Institution Evaluation'!$A$55:$F$346,3,0),IFERROR(VLOOKUP($B41,'Privacy Analyst Evaluation'!$A$46:$F$120,3,0),""))&amp;""</f>
        <v>Yes</v>
      </c>
      <c r="E41" s="216" t="str">
        <f>IFERROR(VLOOKUP($B41,'Institution Evaluation'!$A$55:$F$346,4,0),IFERROR(VLOOKUP($B41,'Privacy Analyst Evaluation'!$A$46:$F$120,4,0),""))&amp;""</f>
        <v>Cirrus Identity has implemented AWS WAF -- https://aws.amazon.com/waf/?nc2=h_ql_prod_se_waf</v>
      </c>
      <c r="F41" s="216" t="str">
        <f>IFERROR(VLOOKUP($B41,'Institution Evaluation'!$A$55:$F$346,6,0),IFERROR(VLOOKUP($B41,'Privacy Analyst Evaluation'!$A$46:$F$120,6,0),""))&amp;""</f>
        <v/>
      </c>
      <c r="G41" s="217"/>
      <c r="H41" s="216" t="str">
        <f>IFERROR(IF($H40+1&gt;'(backend scoring)'!$Q$335,"",$H40+1),"")</f>
        <v/>
      </c>
      <c r="I41" s="216" t="str">
        <f>_xlfn.XLOOKUP($H41,'(backend scoring)'!$S$2:$S$333,'(backend scoring)'!$A$2:$A$333,"")</f>
        <v/>
      </c>
      <c r="J41" s="216" t="str">
        <f>IFERROR(VLOOKUP($I41,'Institution Evaluation'!$A$55:$F$346,2,0),IFERROR(VLOOKUP($I41,'Privacy Analyst Evaluation'!$A$46:$F$120,2,0),""))</f>
        <v/>
      </c>
      <c r="K41" s="216" t="str">
        <f>IFERROR(VLOOKUP($I41,'Institution Evaluation'!$A$55:$F$346,3,0),IFERROR(VLOOKUP($I41,'Privacy Analyst Evaluation'!$A$46:$F$120,3,0),""))&amp;""</f>
        <v/>
      </c>
      <c r="L41" s="216" t="str">
        <f>IFERROR(VLOOKUP($I41,'Institution Evaluation'!$A$55:$F$346,4,0),IFERROR(VLOOKUP($I41,'Privacy Analyst Evaluation'!$A$46:$F$120,4,0),""))&amp;""</f>
        <v/>
      </c>
      <c r="M41" s="216" t="str">
        <f>IFERROR(VLOOKUP($I41,'Institution Evaluation'!$A$55:$F$346,6,0),IFERROR(VLOOKUP($I41,'Privacy Analyst Evaluation'!$A$46:$F$120,6,0),""))&amp;""</f>
        <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row>
    <row r="42" spans="1:338" ht="375" x14ac:dyDescent="0.3">
      <c r="A42" s="216">
        <f>IFERROR(IF($A41+1&gt;'(backend scoring)'!$T$335,"",$A41+1),"")</f>
        <v>18</v>
      </c>
      <c r="B42" s="216" t="str">
        <f>_xlfn.XLOOKUP($A42,'(backend scoring)'!$V$2:$V$333,'(backend scoring)'!$A$2:$A$333,"")</f>
        <v>APPL-03</v>
      </c>
      <c r="C42" s="216" t="str">
        <f>IFERROR(VLOOKUP($B42,'Institution Evaluation'!$A$55:$F$346,2,0),IFERROR(VLOOKUP($B42,'Privacy Analyst Evaluation'!$A$46:$F$120,2,0),""))&amp;""</f>
        <v>Are only currently supported operating system(s), software, and libraries leveraged by the system(s)/application(s) that will have access to institution's data?*</v>
      </c>
      <c r="D42" s="216" t="str">
        <f>IFERROR(VLOOKUP($B42,'Institution Evaluation'!$A$55:$F$346,3,0),IFERROR(VLOOKUP($B42,'Privacy Analyst Evaluation'!$A$46:$F$120,3,0),""))&amp;""</f>
        <v>Yes</v>
      </c>
      <c r="E42" s="216" t="str">
        <f>IFERROR(VLOOKUP($B42,'Institution Evaluation'!$A$55:$F$346,4,0),IFERROR(VLOOKUP($B42,'Privacy Analyst Evaluation'!$A$46:$F$120,4,0),""))&amp;""</f>
        <v>Cirrus Identity reviews all new dependencies for active maintenance to support timely updates to identified vulnerabilities. In limited cases, a product dependency falls out of active support after integration into the Cirrus product. In these cases, Cirrus will backport fixes to address vulnerabilities or otherwise implement compensating measures to manage risks while working toward replacement of the dependency. These mitigations and transition steps are defined as part of an associated risk management plan. Subject to the terms of contract,</v>
      </c>
      <c r="F42" s="216" t="str">
        <f>IFERROR(VLOOKUP($B42,'Institution Evaluation'!$A$55:$F$346,6,0),IFERROR(VLOOKUP($B42,'Privacy Analyst Evaluation'!$A$46:$F$120,6,0),""))&amp;""</f>
        <v/>
      </c>
      <c r="G42" s="217"/>
      <c r="H42" s="216" t="str">
        <f>IFERROR(IF($H41+1&gt;'(backend scoring)'!$Q$335,"",$H41+1),"")</f>
        <v/>
      </c>
      <c r="I42" s="216" t="str">
        <f>_xlfn.XLOOKUP($H42,'(backend scoring)'!$S$2:$S$333,'(backend scoring)'!$A$2:$A$333,"")</f>
        <v/>
      </c>
      <c r="J42" s="216" t="str">
        <f>IFERROR(VLOOKUP($I42,'Institution Evaluation'!$A$55:$F$346,2,0),IFERROR(VLOOKUP($I42,'Privacy Analyst Evaluation'!$A$46:$F$120,2,0),""))</f>
        <v/>
      </c>
      <c r="K42" s="216" t="str">
        <f>IFERROR(VLOOKUP($I42,'Institution Evaluation'!$A$55:$F$346,3,0),IFERROR(VLOOKUP($I42,'Privacy Analyst Evaluation'!$A$46:$F$120,3,0),""))&amp;""</f>
        <v/>
      </c>
      <c r="L42" s="216" t="str">
        <f>IFERROR(VLOOKUP($I42,'Institution Evaluation'!$A$55:$F$346,4,0),IFERROR(VLOOKUP($I42,'Privacy Analyst Evaluation'!$A$46:$F$120,4,0),""))&amp;""</f>
        <v/>
      </c>
      <c r="M42" s="216" t="str">
        <f>IFERROR(VLOOKUP($I42,'Institution Evaluation'!$A$55:$F$346,6,0),IFERROR(VLOOKUP($I42,'Privacy Analyst Evaluation'!$A$46:$F$120,6,0),""))&amp;""</f>
        <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row>
    <row r="43" spans="1:338" ht="45" x14ac:dyDescent="0.3">
      <c r="A43" s="216">
        <f>IFERROR(IF($A42+1&gt;'(backend scoring)'!$T$335,"",$A42+1),"")</f>
        <v>19</v>
      </c>
      <c r="B43" s="216" t="str">
        <f>_xlfn.XLOOKUP($A43,'(backend scoring)'!$V$2:$V$333,'(backend scoring)'!$A$2:$A$333,"")</f>
        <v>APPL-04</v>
      </c>
      <c r="C43" s="216" t="str">
        <f>IFERROR(VLOOKUP($B43,'Institution Evaluation'!$A$55:$F$346,2,0),IFERROR(VLOOKUP($B43,'Privacy Analyst Evaluation'!$A$46:$F$120,2,0),""))&amp;""</f>
        <v>Does your application require access to location or GPS data?</v>
      </c>
      <c r="D43" s="216" t="str">
        <f>IFERROR(VLOOKUP($B43,'Institution Evaluation'!$A$55:$F$346,3,0),IFERROR(VLOOKUP($B43,'Privacy Analyst Evaluation'!$A$46:$F$120,3,0),""))&amp;""</f>
        <v>No</v>
      </c>
      <c r="E43" s="216" t="str">
        <f>IFERROR(VLOOKUP($B43,'Institution Evaluation'!$A$55:$F$346,4,0),IFERROR(VLOOKUP($B43,'Privacy Analyst Evaluation'!$A$46:$F$120,4,0),""))&amp;""</f>
        <v>There are no plans to require access to location or GPS data.</v>
      </c>
      <c r="F43" s="216" t="str">
        <f>IFERROR(VLOOKUP($B43,'Institution Evaluation'!$A$55:$F$346,6,0),IFERROR(VLOOKUP($B43,'Privacy Analyst Evaluation'!$A$46:$F$120,6,0),""))&amp;""</f>
        <v/>
      </c>
      <c r="G43" s="217"/>
      <c r="H43" s="216" t="str">
        <f>IFERROR(IF($H42+1&gt;'(backend scoring)'!$Q$335,"",$H42+1),"")</f>
        <v/>
      </c>
      <c r="I43" s="216" t="str">
        <f>_xlfn.XLOOKUP($H43,'(backend scoring)'!$S$2:$S$333,'(backend scoring)'!$A$2:$A$333,"")</f>
        <v/>
      </c>
      <c r="J43" s="216" t="str">
        <f>IFERROR(VLOOKUP($I43,'Institution Evaluation'!$A$55:$F$346,2,0),IFERROR(VLOOKUP($I43,'Privacy Analyst Evaluation'!$A$46:$F$120,2,0),""))</f>
        <v/>
      </c>
      <c r="K43" s="216" t="str">
        <f>IFERROR(VLOOKUP($I43,'Institution Evaluation'!$A$55:$F$346,3,0),IFERROR(VLOOKUP($I43,'Privacy Analyst Evaluation'!$A$46:$F$120,3,0),""))&amp;""</f>
        <v/>
      </c>
      <c r="L43" s="216" t="str">
        <f>IFERROR(VLOOKUP($I43,'Institution Evaluation'!$A$55:$F$346,4,0),IFERROR(VLOOKUP($I43,'Privacy Analyst Evaluation'!$A$46:$F$120,4,0),""))&amp;""</f>
        <v/>
      </c>
      <c r="M43" s="216" t="str">
        <f>IFERROR(VLOOKUP($I43,'Institution Evaluation'!$A$55:$F$346,6,0),IFERROR(VLOOKUP($I43,'Privacy Analyst Evaluation'!$A$46:$F$120,6,0),""))&amp;""</f>
        <v/>
      </c>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row>
    <row r="44" spans="1:338" ht="300" x14ac:dyDescent="0.3">
      <c r="A44" s="216">
        <f>IFERROR(IF($A43+1&gt;'(backend scoring)'!$T$335,"",$A43+1),"")</f>
        <v>20</v>
      </c>
      <c r="B44" s="216" t="str">
        <f>_xlfn.XLOOKUP($A44,'(backend scoring)'!$V$2:$V$333,'(backend scoring)'!$A$2:$A$333,"")</f>
        <v>APPL-05</v>
      </c>
      <c r="C44" s="216" t="str">
        <f>IFERROR(VLOOKUP($B44,'Institution Evaluation'!$A$55:$F$346,2,0),IFERROR(VLOOKUP($B44,'Privacy Analyst Evaluation'!$A$46:$F$120,2,0),""))&amp;""</f>
        <v>Does your application provide separation of duties between security administration, system administration, and standard user functions?*</v>
      </c>
      <c r="D44" s="216" t="str">
        <f>IFERROR(VLOOKUP($B44,'Institution Evaluation'!$A$55:$F$346,3,0),IFERROR(VLOOKUP($B44,'Privacy Analyst Evaluation'!$A$46:$F$120,3,0),""))&amp;""</f>
        <v>Yes</v>
      </c>
      <c r="E44" s="216" t="str">
        <f>IFERROR(VLOOKUP($B44,'Institution Evaluation'!$A$55:$F$346,4,0),IFERROR(VLOOKUP($B44,'Privacy Analyst Evaluation'!$A$46:$F$120,4,0),""))&amp;""</f>
        <v xml:space="preserve">The primary separation of duty control is the use of federated access to access the Cirrus Administrative Console. Since organization administrators log in using their organization's credential, there is a separation between the administrative functions in the Cirrus Console and any access logging. Further, since the solution is hosted, the organization administrators do not have direct access to logs that record their activities. </v>
      </c>
      <c r="F44" s="216" t="str">
        <f>IFERROR(VLOOKUP($B44,'Institution Evaluation'!$A$55:$F$346,6,0),IFERROR(VLOOKUP($B44,'Privacy Analyst Evaluation'!$A$46:$F$120,6,0),""))&amp;""</f>
        <v/>
      </c>
      <c r="G44" s="217"/>
      <c r="H44" s="216" t="str">
        <f>IFERROR(IF($H43+1&gt;'(backend scoring)'!$Q$335,"",$H43+1),"")</f>
        <v/>
      </c>
      <c r="I44" s="216" t="str">
        <f>_xlfn.XLOOKUP($H44,'(backend scoring)'!$S$2:$S$333,'(backend scoring)'!$A$2:$A$333,"")</f>
        <v/>
      </c>
      <c r="J44" s="216" t="str">
        <f>IFERROR(VLOOKUP($I44,'Institution Evaluation'!$A$55:$F$346,2,0),IFERROR(VLOOKUP($I44,'Privacy Analyst Evaluation'!$A$46:$F$120,2,0),""))</f>
        <v/>
      </c>
      <c r="K44" s="216" t="str">
        <f>IFERROR(VLOOKUP($I44,'Institution Evaluation'!$A$55:$F$346,3,0),IFERROR(VLOOKUP($I44,'Privacy Analyst Evaluation'!$A$46:$F$120,3,0),""))&amp;""</f>
        <v/>
      </c>
      <c r="L44" s="216" t="str">
        <f>IFERROR(VLOOKUP($I44,'Institution Evaluation'!$A$55:$F$346,4,0),IFERROR(VLOOKUP($I44,'Privacy Analyst Evaluation'!$A$46:$F$120,4,0),""))&amp;""</f>
        <v/>
      </c>
      <c r="M44" s="216" t="str">
        <f>IFERROR(VLOOKUP($I44,'Institution Evaluation'!$A$55:$F$346,6,0),IFERROR(VLOOKUP($I44,'Privacy Analyst Evaluation'!$A$46:$F$120,6,0),""))&amp;""</f>
        <v/>
      </c>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row>
    <row r="45" spans="1:338" ht="409.5" x14ac:dyDescent="0.3">
      <c r="A45" s="216">
        <f>IFERROR(IF($A44+1&gt;'(backend scoring)'!$T$335,"",$A44+1),"")</f>
        <v>21</v>
      </c>
      <c r="B45" s="216" t="str">
        <f>_xlfn.XLOOKUP($A45,'(backend scoring)'!$V$2:$V$333,'(backend scoring)'!$A$2:$A$333,"")</f>
        <v>APPL-06</v>
      </c>
      <c r="C45" s="216" t="str">
        <f>IFERROR(VLOOKUP($B45,'Institution Evaluation'!$A$55:$F$346,2,0),IFERROR(VLOOKUP($B45,'Privacy Analyst Evaluation'!$A$46:$F$120,2,0),""))&amp;""</f>
        <v>Do you subject your code to static code analysis and/or static application security testing prior to release?*</v>
      </c>
      <c r="D45" s="216" t="str">
        <f>IFERROR(VLOOKUP($B45,'Institution Evaluation'!$A$55:$F$346,3,0),IFERROR(VLOOKUP($B45,'Privacy Analyst Evaluation'!$A$46:$F$120,3,0),""))&amp;""</f>
        <v>Yes</v>
      </c>
      <c r="E45" s="216" t="str">
        <f>IFERROR(VLOOKUP($B45,'Institution Evaluation'!$A$55:$F$346,4,0),IFERROR(VLOOKUP($B45,'Privacy Analyst Evaluation'!$A$46:$F$120,4,0),""))&amp;""</f>
        <v xml:space="preserve">We leverage vulnerability checking as part of our change management process:  
PHP/SSP -- local-php-security-checker  (https://github.com/fabpot/local-php-security-checker) (migrating from)
PHP/SSP -- "audit" capability of PHP composer package manager (migrating to)
PHP/SSP -- Psalm (https://psalm.dev)
Groovy/Grails -- CodeNarc (https://codenarc.org/)
Python -- pylint and bandit
VUE -- ESLint
GitHub -- code repository scanning
AWS -- container repository scanning
</v>
      </c>
      <c r="F45" s="216" t="str">
        <f>IFERROR(VLOOKUP($B45,'Institution Evaluation'!$A$55:$F$346,6,0),IFERROR(VLOOKUP($B45,'Privacy Analyst Evaluation'!$A$46:$F$120,6,0),""))&amp;""</f>
        <v/>
      </c>
      <c r="G45" s="217"/>
      <c r="H45" s="216" t="str">
        <f>IFERROR(IF($H44+1&gt;'(backend scoring)'!$Q$335,"",$H44+1),"")</f>
        <v/>
      </c>
      <c r="I45" s="216" t="str">
        <f>_xlfn.XLOOKUP($H45,'(backend scoring)'!$S$2:$S$333,'(backend scoring)'!$A$2:$A$333,"")</f>
        <v/>
      </c>
      <c r="J45" s="216" t="str">
        <f>IFERROR(VLOOKUP($I45,'Institution Evaluation'!$A$55:$F$346,2,0),IFERROR(VLOOKUP($I45,'Privacy Analyst Evaluation'!$A$46:$F$120,2,0),""))</f>
        <v/>
      </c>
      <c r="K45" s="216" t="str">
        <f>IFERROR(VLOOKUP($I45,'Institution Evaluation'!$A$55:$F$346,3,0),IFERROR(VLOOKUP($I45,'Privacy Analyst Evaluation'!$A$46:$F$120,3,0),""))&amp;""</f>
        <v/>
      </c>
      <c r="L45" s="216" t="str">
        <f>IFERROR(VLOOKUP($I45,'Institution Evaluation'!$A$55:$F$346,4,0),IFERROR(VLOOKUP($I45,'Privacy Analyst Evaluation'!$A$46:$F$120,4,0),""))&amp;""</f>
        <v/>
      </c>
      <c r="M45" s="216" t="str">
        <f>IFERROR(VLOOKUP($I45,'Institution Evaluation'!$A$55:$F$346,6,0),IFERROR(VLOOKUP($I45,'Privacy Analyst Evaluation'!$A$46:$F$120,6,0),""))&amp;""</f>
        <v/>
      </c>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row>
    <row r="46" spans="1:338" ht="165" x14ac:dyDescent="0.3">
      <c r="A46" s="216">
        <f>IFERROR(IF($A45+1&gt;'(backend scoring)'!$T$335,"",$A45+1),"")</f>
        <v>22</v>
      </c>
      <c r="B46" s="216" t="str">
        <f>_xlfn.XLOOKUP($A46,'(backend scoring)'!$V$2:$V$333,'(backend scoring)'!$A$2:$A$333,"")</f>
        <v>APPL-07</v>
      </c>
      <c r="C46" s="216" t="str">
        <f>IFERROR(VLOOKUP($B46,'Institution Evaluation'!$A$55:$F$346,2,0),IFERROR(VLOOKUP($B46,'Privacy Analyst Evaluation'!$A$46:$F$120,2,0),""))&amp;""</f>
        <v>Do you have software testing processes (dynamic or static) that are established and followed?*</v>
      </c>
      <c r="D46" s="216" t="str">
        <f>IFERROR(VLOOKUP($B46,'Institution Evaluation'!$A$55:$F$346,3,0),IFERROR(VLOOKUP($B46,'Privacy Analyst Evaluation'!$A$46:$F$120,3,0),""))&amp;""</f>
        <v>Yes</v>
      </c>
      <c r="E46" s="216" t="str">
        <f>IFERROR(VLOOKUP($B46,'Institution Evaluation'!$A$55:$F$346,4,0),IFERROR(VLOOKUP($B46,'Privacy Analyst Evaluation'!$A$46:$F$120,4,0),""))&amp;""</f>
        <v>Software and new configurations are tested using a dedicated QA environment instrumented with a base set of automated tests. This environment is also used to perform manual testing. Both testing would be considered dynamic.</v>
      </c>
      <c r="F46" s="216" t="str">
        <f>IFERROR(VLOOKUP($B46,'Institution Evaluation'!$A$55:$F$346,6,0),IFERROR(VLOOKUP($B46,'Privacy Analyst Evaluation'!$A$46:$F$120,6,0),""))&amp;""</f>
        <v/>
      </c>
      <c r="G46" s="217"/>
      <c r="H46" s="216" t="str">
        <f>IFERROR(IF($H45+1&gt;'(backend scoring)'!$Q$335,"",$H45+1),"")</f>
        <v/>
      </c>
      <c r="I46" s="216" t="str">
        <f>_xlfn.XLOOKUP($H46,'(backend scoring)'!$S$2:$S$333,'(backend scoring)'!$A$2:$A$333,"")</f>
        <v/>
      </c>
      <c r="J46" s="216" t="str">
        <f>IFERROR(VLOOKUP($I46,'Institution Evaluation'!$A$55:$F$346,2,0),IFERROR(VLOOKUP($I46,'Privacy Analyst Evaluation'!$A$46:$F$120,2,0),""))</f>
        <v/>
      </c>
      <c r="K46" s="216" t="str">
        <f>IFERROR(VLOOKUP($I46,'Institution Evaluation'!$A$55:$F$346,3,0),IFERROR(VLOOKUP($I46,'Privacy Analyst Evaluation'!$A$46:$F$120,3,0),""))&amp;""</f>
        <v/>
      </c>
      <c r="L46" s="216" t="str">
        <f>IFERROR(VLOOKUP($I46,'Institution Evaluation'!$A$55:$F$346,4,0),IFERROR(VLOOKUP($I46,'Privacy Analyst Evaluation'!$A$46:$F$120,4,0),""))&amp;""</f>
        <v/>
      </c>
      <c r="M46" s="216" t="str">
        <f>IFERROR(VLOOKUP($I46,'Institution Evaluation'!$A$55:$F$346,6,0),IFERROR(VLOOKUP($I46,'Privacy Analyst Evaluation'!$A$46:$F$120,6,0),""))&amp;""</f>
        <v/>
      </c>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row>
    <row r="47" spans="1:338" ht="285" x14ac:dyDescent="0.3">
      <c r="A47" s="216">
        <f>IFERROR(IF($A46+1&gt;'(backend scoring)'!$T$335,"",$A46+1),"")</f>
        <v>23</v>
      </c>
      <c r="B47" s="216" t="str">
        <f>_xlfn.XLOOKUP($A47,'(backend scoring)'!$V$2:$V$333,'(backend scoring)'!$A$2:$A$333,"")</f>
        <v>AAAI-01</v>
      </c>
      <c r="C47" s="216" t="str">
        <f>IFERROR(VLOOKUP($B47,'Institution Evaluation'!$A$55:$F$346,2,0),IFERROR(VLOOKUP($B47,'Privacy Analyst Evaluation'!$A$46:$F$120,2,0),""))&amp;""</f>
        <v>Does your solution support single sign-on (SSO) protocols for user and administrator authentication?*</v>
      </c>
      <c r="D47" s="216" t="str">
        <f>IFERROR(VLOOKUP($B47,'Institution Evaluation'!$A$55:$F$346,3,0),IFERROR(VLOOKUP($B47,'Privacy Analyst Evaluation'!$A$46:$F$120,3,0),""))&amp;""</f>
        <v>Yes</v>
      </c>
      <c r="E47" s="216" t="str">
        <f>IFERROR(VLOOKUP($B47,'Institution Evaluation'!$A$55:$F$346,4,0),IFERROR(VLOOKUP($B47,'Privacy Analyst Evaluation'!$A$46:$F$120,4,0),""))&amp;""</f>
        <v xml:space="preserve">The majority of Cirrus Identity Products utilizes web application single sign-on (WebSSO) protocols for either end user or administrator authentication. Cirrus Identity Products defer to the source identity provider for the strength of the authentication. Cirrus Identity offers the Cirrus Identity OrgBrandedID which is a hosted light weight SAML V2 Identity Provider that can be used by end users that do not have another identity provider option. </v>
      </c>
      <c r="F47" s="216" t="str">
        <f>IFERROR(VLOOKUP($B47,'Institution Evaluation'!$A$55:$F$346,6,0),IFERROR(VLOOKUP($B47,'Privacy Analyst Evaluation'!$A$46:$F$120,6,0),""))&amp;""</f>
        <v/>
      </c>
      <c r="G47" s="217"/>
      <c r="H47" s="216" t="str">
        <f>IFERROR(IF($H46+1&gt;'(backend scoring)'!$Q$335,"",$H46+1),"")</f>
        <v/>
      </c>
      <c r="I47" s="216" t="str">
        <f>_xlfn.XLOOKUP($H47,'(backend scoring)'!$S$2:$S$333,'(backend scoring)'!$A$2:$A$333,"")</f>
        <v/>
      </c>
      <c r="J47" s="216" t="str">
        <f>IFERROR(VLOOKUP($I47,'Institution Evaluation'!$A$55:$F$346,2,0),IFERROR(VLOOKUP($I47,'Privacy Analyst Evaluation'!$A$46:$F$120,2,0),""))</f>
        <v/>
      </c>
      <c r="K47" s="216" t="str">
        <f>IFERROR(VLOOKUP($I47,'Institution Evaluation'!$A$55:$F$346,3,0),IFERROR(VLOOKUP($I47,'Privacy Analyst Evaluation'!$A$46:$F$120,3,0),""))&amp;""</f>
        <v/>
      </c>
      <c r="L47" s="216" t="str">
        <f>IFERROR(VLOOKUP($I47,'Institution Evaluation'!$A$55:$F$346,4,0),IFERROR(VLOOKUP($I47,'Privacy Analyst Evaluation'!$A$46:$F$120,4,0),""))&amp;""</f>
        <v/>
      </c>
      <c r="M47" s="216" t="str">
        <f>IFERROR(VLOOKUP($I47,'Institution Evaluation'!$A$55:$F$346,6,0),IFERROR(VLOOKUP($I47,'Privacy Analyst Evaluation'!$A$46:$F$120,6,0),""))&amp;""</f>
        <v/>
      </c>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row>
    <row r="48" spans="1:338" ht="90" x14ac:dyDescent="0.3">
      <c r="A48" s="216">
        <f>IFERROR(IF($A47+1&gt;'(backend scoring)'!$T$335,"",$A47+1),"")</f>
        <v>24</v>
      </c>
      <c r="B48" s="216" t="str">
        <f>_xlfn.XLOOKUP($A48,'(backend scoring)'!$V$2:$V$333,'(backend scoring)'!$A$2:$A$333,"")</f>
        <v>AAAI-02</v>
      </c>
      <c r="C48" s="216" t="str">
        <f>IFERROR(VLOOKUP($B48,'Institution Evaluation'!$A$55:$F$346,2,0),IFERROR(VLOOKUP($B48,'Privacy Analyst Evaluation'!$A$46:$F$120,2,0),""))&amp;""</f>
        <v>For customers not using SSO, does your solution support local authentication protocols for user and administrator authentication?*</v>
      </c>
      <c r="D48" s="216" t="str">
        <f>IFERROR(VLOOKUP($B48,'Institution Evaluation'!$A$55:$F$346,3,0),IFERROR(VLOOKUP($B48,'Privacy Analyst Evaluation'!$A$46:$F$120,3,0),""))&amp;""</f>
        <v>No</v>
      </c>
      <c r="E48" s="216" t="str">
        <f>IFERROR(VLOOKUP($B48,'Institution Evaluation'!$A$55:$F$346,4,0),IFERROR(VLOOKUP($B48,'Privacy Analyst Evaluation'!$A$46:$F$120,4,0),""))&amp;""</f>
        <v>Cirrus Identity PRoducts utilize web application single sign-on (WebSSO) protocols for either end user or administrator authentication.</v>
      </c>
      <c r="F48" s="216" t="str">
        <f>IFERROR(VLOOKUP($B48,'Institution Evaluation'!$A$55:$F$346,6,0),IFERROR(VLOOKUP($B48,'Privacy Analyst Evaluation'!$A$46:$F$120,6,0),""))&amp;""</f>
        <v/>
      </c>
      <c r="G48" s="217"/>
      <c r="H48" s="216" t="str">
        <f>IFERROR(IF($H47+1&gt;'(backend scoring)'!$Q$335,"",$H47+1),"")</f>
        <v/>
      </c>
      <c r="I48" s="216" t="str">
        <f>_xlfn.XLOOKUP($H48,'(backend scoring)'!$S$2:$S$333,'(backend scoring)'!$A$2:$A$333,"")</f>
        <v/>
      </c>
      <c r="J48" s="216" t="str">
        <f>IFERROR(VLOOKUP($I48,'Institution Evaluation'!$A$55:$F$346,2,0),IFERROR(VLOOKUP($I48,'Privacy Analyst Evaluation'!$A$46:$F$120,2,0),""))</f>
        <v/>
      </c>
      <c r="K48" s="216" t="str">
        <f>IFERROR(VLOOKUP($I48,'Institution Evaluation'!$A$55:$F$346,3,0),IFERROR(VLOOKUP($I48,'Privacy Analyst Evaluation'!$A$46:$F$120,3,0),""))&amp;""</f>
        <v/>
      </c>
      <c r="L48" s="216" t="str">
        <f>IFERROR(VLOOKUP($I48,'Institution Evaluation'!$A$55:$F$346,4,0),IFERROR(VLOOKUP($I48,'Privacy Analyst Evaluation'!$A$46:$F$120,4,0),""))&amp;""</f>
        <v/>
      </c>
      <c r="M48" s="216" t="str">
        <f>IFERROR(VLOOKUP($I48,'Institution Evaluation'!$A$55:$F$346,6,0),IFERROR(VLOOKUP($I48,'Privacy Analyst Evaluation'!$A$46:$F$120,6,0),""))&amp;""</f>
        <v/>
      </c>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row>
    <row r="49" spans="1:338" ht="285" x14ac:dyDescent="0.3">
      <c r="A49" s="216">
        <f>IFERROR(IF($A48+1&gt;'(backend scoring)'!$T$335,"",$A48+1),"")</f>
        <v>25</v>
      </c>
      <c r="B49" s="216" t="str">
        <f>_xlfn.XLOOKUP($A49,'(backend scoring)'!$V$2:$V$333,'(backend scoring)'!$A$2:$A$333,"")</f>
        <v>AAAI-03</v>
      </c>
      <c r="C49" s="216" t="str">
        <f>IFERROR(VLOOKUP($B49,'Institution Evaluation'!$A$55:$F$346,2,0),IFERROR(VLOOKUP($B49,'Privacy Analyst Evaluation'!$A$46:$F$120,2,0),""))&amp;""</f>
        <v>For customers not using SSO, can you enforce password/passphrase complexity requirements (provided by the institution)?*</v>
      </c>
      <c r="D49" s="216" t="str">
        <f>IFERROR(VLOOKUP($B49,'Institution Evaluation'!$A$55:$F$346,3,0),IFERROR(VLOOKUP($B49,'Privacy Analyst Evaluation'!$A$46:$F$120,3,0),""))&amp;""</f>
        <v>Yes</v>
      </c>
      <c r="E49" s="216" t="str">
        <f>IFERROR(VLOOKUP($B49,'Institution Evaluation'!$A$55:$F$346,4,0),IFERROR(VLOOKUP($B49,'Privacy Analyst Evaluation'!$A$46:$F$120,4,0),""))&amp;""</f>
        <v>Identity providers outside the operational scope of Cirrus Identity would manage password/passphrase complexity requirements. Cirrus Identity solutions do not manage the password/passphrase with the exception of the Cirrus Identity OrgBrandedID. Password/passphrase complexity enforcement for the Cirrus Identity OrgBrandedID can be configured based on the organization's requirements.</v>
      </c>
      <c r="F49" s="216" t="str">
        <f>IFERROR(VLOOKUP($B49,'Institution Evaluation'!$A$55:$F$346,6,0),IFERROR(VLOOKUP($B49,'Privacy Analyst Evaluation'!$A$46:$F$120,6,0),""))&amp;""</f>
        <v/>
      </c>
      <c r="G49" s="217"/>
      <c r="H49" s="216" t="str">
        <f>IFERROR(IF($H48+1&gt;'(backend scoring)'!$Q$335,"",$H48+1),"")</f>
        <v/>
      </c>
      <c r="I49" s="216" t="str">
        <f>_xlfn.XLOOKUP($H49,'(backend scoring)'!$S$2:$S$333,'(backend scoring)'!$A$2:$A$333,"")</f>
        <v/>
      </c>
      <c r="J49" s="216" t="str">
        <f>IFERROR(VLOOKUP($I49,'Institution Evaluation'!$A$55:$F$346,2,0),IFERROR(VLOOKUP($I49,'Privacy Analyst Evaluation'!$A$46:$F$120,2,0),""))</f>
        <v/>
      </c>
      <c r="K49" s="216" t="str">
        <f>IFERROR(VLOOKUP($I49,'Institution Evaluation'!$A$55:$F$346,3,0),IFERROR(VLOOKUP($I49,'Privacy Analyst Evaluation'!$A$46:$F$120,3,0),""))&amp;""</f>
        <v/>
      </c>
      <c r="L49" s="216" t="str">
        <f>IFERROR(VLOOKUP($I49,'Institution Evaluation'!$A$55:$F$346,4,0),IFERROR(VLOOKUP($I49,'Privacy Analyst Evaluation'!$A$46:$F$120,4,0),""))&amp;""</f>
        <v/>
      </c>
      <c r="M49" s="216" t="str">
        <f>IFERROR(VLOOKUP($I49,'Institution Evaluation'!$A$55:$F$346,6,0),IFERROR(VLOOKUP($I49,'Privacy Analyst Evaluation'!$A$46:$F$120,6,0),""))&amp;""</f>
        <v/>
      </c>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row>
    <row r="50" spans="1:338" ht="270" x14ac:dyDescent="0.3">
      <c r="A50" s="216">
        <f>IFERROR(IF($A49+1&gt;'(backend scoring)'!$T$335,"",$A49+1),"")</f>
        <v>26</v>
      </c>
      <c r="B50" s="216" t="str">
        <f>_xlfn.XLOOKUP($A50,'(backend scoring)'!$V$2:$V$333,'(backend scoring)'!$A$2:$A$333,"")</f>
        <v>AAAI-04</v>
      </c>
      <c r="C50" s="216" t="str">
        <f>IFERROR(VLOOKUP($B50,'Institution Evaluation'!$A$55:$F$346,2,0),IFERROR(VLOOKUP($B50,'Privacy Analyst Evaluation'!$A$46:$F$120,2,0),""))&amp;""</f>
        <v>For customers not using SSO, does the system have password complexity or length limitations and/or restrictions?*</v>
      </c>
      <c r="D50" s="216" t="str">
        <f>IFERROR(VLOOKUP($B50,'Institution Evaluation'!$A$55:$F$346,3,0),IFERROR(VLOOKUP($B50,'Privacy Analyst Evaluation'!$A$46:$F$120,3,0),""))&amp;""</f>
        <v>Yes</v>
      </c>
      <c r="E50" s="216" t="str">
        <f>IFERROR(VLOOKUP($B50,'Institution Evaluation'!$A$55:$F$346,4,0),IFERROR(VLOOKUP($B50,'Privacy Analyst Evaluation'!$A$46:$F$120,4,0),""))&amp;""</f>
        <v>Identity providers outside the operational scope of Cirrus Identity would manage password/passphrase complexity requirements. Cirrus Identity solutions do not manage the password/passphrase with the exception of the Cirrus OrgBrandedID. Password/passphrase complexity enforcement for the Cirrus OrgBrandedID can be configured based on the organization's requirements.</v>
      </c>
      <c r="F50" s="216" t="str">
        <f>IFERROR(VLOOKUP($B50,'Institution Evaluation'!$A$55:$F$346,6,0),IFERROR(VLOOKUP($B50,'Privacy Analyst Evaluation'!$A$46:$F$120,6,0),""))&amp;""</f>
        <v/>
      </c>
      <c r="G50" s="217"/>
      <c r="H50" s="216" t="str">
        <f>IFERROR(IF($H49+1&gt;'(backend scoring)'!$Q$335,"",$H49+1),"")</f>
        <v/>
      </c>
      <c r="I50" s="216" t="str">
        <f>_xlfn.XLOOKUP($H50,'(backend scoring)'!$S$2:$S$333,'(backend scoring)'!$A$2:$A$333,"")</f>
        <v/>
      </c>
      <c r="J50" s="216" t="str">
        <f>IFERROR(VLOOKUP($I50,'Institution Evaluation'!$A$55:$F$346,2,0),IFERROR(VLOOKUP($I50,'Privacy Analyst Evaluation'!$A$46:$F$120,2,0),""))</f>
        <v/>
      </c>
      <c r="K50" s="216" t="str">
        <f>IFERROR(VLOOKUP($I50,'Institution Evaluation'!$A$55:$F$346,3,0),IFERROR(VLOOKUP($I50,'Privacy Analyst Evaluation'!$A$46:$F$120,3,0),""))&amp;""</f>
        <v/>
      </c>
      <c r="L50" s="216" t="str">
        <f>IFERROR(VLOOKUP($I50,'Institution Evaluation'!$A$55:$F$346,4,0),IFERROR(VLOOKUP($I50,'Privacy Analyst Evaluation'!$A$46:$F$120,4,0),""))&amp;""</f>
        <v/>
      </c>
      <c r="M50" s="216" t="str">
        <f>IFERROR(VLOOKUP($I50,'Institution Evaluation'!$A$55:$F$346,6,0),IFERROR(VLOOKUP($I50,'Privacy Analyst Evaluation'!$A$46:$F$120,6,0),""))&amp;""</f>
        <v/>
      </c>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row>
    <row r="51" spans="1:338" ht="390" x14ac:dyDescent="0.3">
      <c r="A51" s="216">
        <f>IFERROR(IF($A50+1&gt;'(backend scoring)'!$T$335,"",$A50+1),"")</f>
        <v>27</v>
      </c>
      <c r="B51" s="216" t="str">
        <f>_xlfn.XLOOKUP($A51,'(backend scoring)'!$V$2:$V$333,'(backend scoring)'!$A$2:$A$333,"")</f>
        <v>AAAI-05</v>
      </c>
      <c r="C51" s="216" t="str">
        <f>IFERROR(VLOOKUP($B51,'Institution Evaluation'!$A$55:$F$346,2,0),IFERROR(VLOOKUP($B51,'Privacy Analyst Evaluation'!$A$46:$F$120,2,0),""))&amp;""</f>
        <v>For customers not using SSO, do you have documented password/passphrase reset procedures that are currently implemented in the system and/or customer support?*</v>
      </c>
      <c r="D51" s="216" t="str">
        <f>IFERROR(VLOOKUP($B51,'Institution Evaluation'!$A$55:$F$346,3,0),IFERROR(VLOOKUP($B51,'Privacy Analyst Evaluation'!$A$46:$F$120,3,0),""))&amp;""</f>
        <v>Yes</v>
      </c>
      <c r="E51" s="216" t="str">
        <f>IFERROR(VLOOKUP($B51,'Institution Evaluation'!$A$55:$F$346,4,0),IFERROR(VLOOKUP($B51,'Privacy Analyst Evaluation'!$A$46:$F$120,4,0),""))&amp;""</f>
        <v xml:space="preserve">Identity providers outside of the operational scope of Cirrus Identity would need to implement password/passphrase reset procedures. The Cirrus Identity Products does not manage the password/passphrase reset process with the exception of the Cirrus OrgBrandedID. 
For the Cirrus OrgBrandedID, there is a self-service UI for the end user to change the password if they still remember it. If the end user does not know the password, the default method to reclaim the password is by passing a token to the email address registered to the OrgBrandedID. </v>
      </c>
      <c r="F51" s="216" t="str">
        <f>IFERROR(VLOOKUP($B51,'Institution Evaluation'!$A$55:$F$346,6,0),IFERROR(VLOOKUP($B51,'Privacy Analyst Evaluation'!$A$46:$F$120,6,0),""))&amp;""</f>
        <v/>
      </c>
      <c r="G51" s="217"/>
      <c r="H51" s="216" t="str">
        <f>IFERROR(IF($H50+1&gt;'(backend scoring)'!$Q$335,"",$H50+1),"")</f>
        <v/>
      </c>
      <c r="I51" s="216" t="str">
        <f>_xlfn.XLOOKUP($H51,'(backend scoring)'!$S$2:$S$333,'(backend scoring)'!$A$2:$A$333,"")</f>
        <v/>
      </c>
      <c r="J51" s="216" t="str">
        <f>IFERROR(VLOOKUP($I51,'Institution Evaluation'!$A$55:$F$346,2,0),IFERROR(VLOOKUP($I51,'Privacy Analyst Evaluation'!$A$46:$F$120,2,0),""))</f>
        <v/>
      </c>
      <c r="K51" s="216" t="str">
        <f>IFERROR(VLOOKUP($I51,'Institution Evaluation'!$A$55:$F$346,3,0),IFERROR(VLOOKUP($I51,'Privacy Analyst Evaluation'!$A$46:$F$120,3,0),""))&amp;""</f>
        <v/>
      </c>
      <c r="L51" s="216" t="str">
        <f>IFERROR(VLOOKUP($I51,'Institution Evaluation'!$A$55:$F$346,4,0),IFERROR(VLOOKUP($I51,'Privacy Analyst Evaluation'!$A$46:$F$120,4,0),""))&amp;""</f>
        <v/>
      </c>
      <c r="M51" s="216" t="str">
        <f>IFERROR(VLOOKUP($I51,'Institution Evaluation'!$A$55:$F$346,6,0),IFERROR(VLOOKUP($I51,'Privacy Analyst Evaluation'!$A$46:$F$120,6,0),""))&amp;""</f>
        <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row>
    <row r="52" spans="1:338" ht="225" x14ac:dyDescent="0.3">
      <c r="A52" s="216">
        <f>IFERROR(IF($A51+1&gt;'(backend scoring)'!$T$335,"",$A51+1),"")</f>
        <v>28</v>
      </c>
      <c r="B52" s="216" t="str">
        <f>_xlfn.XLOOKUP($A52,'(backend scoring)'!$V$2:$V$333,'(backend scoring)'!$A$2:$A$333,"")</f>
        <v>AAAI-06</v>
      </c>
      <c r="C52" s="216" t="str">
        <f>IFERROR(VLOOKUP($B52,'Institution Evaluation'!$A$55:$F$346,2,0),IFERROR(VLOOKUP($B52,'Privacy Analyst Evaluation'!$A$46:$F$120,2,0),""))&amp;""</f>
        <v>Does your organization participate in InCommon or another eduGAIN-affiliated trust federation?*</v>
      </c>
      <c r="D52" s="216" t="str">
        <f>IFERROR(VLOOKUP($B52,'Institution Evaluation'!$A$55:$F$346,3,0),IFERROR(VLOOKUP($B52,'Privacy Analyst Evaluation'!$A$46:$F$120,3,0),""))&amp;""</f>
        <v>Yes</v>
      </c>
      <c r="E52" s="216" t="str">
        <f>IFERROR(VLOOKUP($B52,'Institution Evaluation'!$A$55:$F$346,4,0),IFERROR(VLOOKUP($B52,'Privacy Analyst Evaluation'!$A$46:$F$120,4,0),""))&amp;""</f>
        <v>Cirrus Identity services use the following entity IDs:
https://apps.cirrusidentity.com/shibboleth https://support.proxy.cirrusidentity.com/sp
Customers may also choose to register their own tenants in Incommon or other eduGAIN trust federations.</v>
      </c>
      <c r="F52" s="216" t="str">
        <f>IFERROR(VLOOKUP($B52,'Institution Evaluation'!$A$55:$F$346,6,0),IFERROR(VLOOKUP($B52,'Privacy Analyst Evaluation'!$A$46:$F$120,6,0),""))&amp;""</f>
        <v/>
      </c>
      <c r="G52" s="217"/>
      <c r="H52" s="216" t="str">
        <f>IFERROR(IF($H51+1&gt;'(backend scoring)'!$Q$335,"",$H51+1),"")</f>
        <v/>
      </c>
      <c r="I52" s="216" t="str">
        <f>_xlfn.XLOOKUP($H52,'(backend scoring)'!$S$2:$S$333,'(backend scoring)'!$A$2:$A$333,"")</f>
        <v/>
      </c>
      <c r="J52" s="216" t="str">
        <f>IFERROR(VLOOKUP($I52,'Institution Evaluation'!$A$55:$F$346,2,0),IFERROR(VLOOKUP($I52,'Privacy Analyst Evaluation'!$A$46:$F$120,2,0),""))</f>
        <v/>
      </c>
      <c r="K52" s="216" t="str">
        <f>IFERROR(VLOOKUP($I52,'Institution Evaluation'!$A$55:$F$346,3,0),IFERROR(VLOOKUP($I52,'Privacy Analyst Evaluation'!$A$46:$F$120,3,0),""))&amp;""</f>
        <v/>
      </c>
      <c r="L52" s="216" t="str">
        <f>IFERROR(VLOOKUP($I52,'Institution Evaluation'!$A$55:$F$346,4,0),IFERROR(VLOOKUP($I52,'Privacy Analyst Evaluation'!$A$46:$F$120,4,0),""))&amp;""</f>
        <v/>
      </c>
      <c r="M52" s="216" t="str">
        <f>IFERROR(VLOOKUP($I52,'Institution Evaluation'!$A$55:$F$346,6,0),IFERROR(VLOOKUP($I52,'Privacy Analyst Evaluation'!$A$46:$F$120,6,0),""))&amp;""</f>
        <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row>
    <row r="53" spans="1:338" ht="60" x14ac:dyDescent="0.3">
      <c r="A53" s="216">
        <f>IFERROR(IF($A52+1&gt;'(backend scoring)'!$T$335,"",$A52+1),"")</f>
        <v>29</v>
      </c>
      <c r="B53" s="216" t="str">
        <f>_xlfn.XLOOKUP($A53,'(backend scoring)'!$V$2:$V$333,'(backend scoring)'!$A$2:$A$333,"")</f>
        <v>AAAI-07</v>
      </c>
      <c r="C53" s="216" t="str">
        <f>IFERROR(VLOOKUP($B53,'Institution Evaluation'!$A$55:$F$346,2,0),IFERROR(VLOOKUP($B53,'Privacy Analyst Evaluation'!$A$46:$F$120,2,0),""))&amp;""</f>
        <v>Are there any passwords/passphrases hard-coded into your systems or solutions?*</v>
      </c>
      <c r="D53" s="216" t="str">
        <f>IFERROR(VLOOKUP($B53,'Institution Evaluation'!$A$55:$F$346,3,0),IFERROR(VLOOKUP($B53,'Privacy Analyst Evaluation'!$A$46:$F$120,3,0),""))&amp;""</f>
        <v>No</v>
      </c>
      <c r="E53" s="216" t="str">
        <f>IFERROR(VLOOKUP($B53,'Institution Evaluation'!$A$55:$F$346,4,0),IFERROR(VLOOKUP($B53,'Privacy Analyst Evaluation'!$A$46:$F$120,4,0),""))&amp;""</f>
        <v/>
      </c>
      <c r="F53" s="216" t="str">
        <f>IFERROR(VLOOKUP($B53,'Institution Evaluation'!$A$55:$F$346,6,0),IFERROR(VLOOKUP($B53,'Privacy Analyst Evaluation'!$A$46:$F$120,6,0),""))&amp;""</f>
        <v/>
      </c>
      <c r="G53" s="217"/>
      <c r="H53" s="216" t="str">
        <f>IFERROR(IF($H52+1&gt;'(backend scoring)'!$Q$335,"",$H52+1),"")</f>
        <v/>
      </c>
      <c r="I53" s="216" t="str">
        <f>_xlfn.XLOOKUP($H53,'(backend scoring)'!$S$2:$S$333,'(backend scoring)'!$A$2:$A$333,"")</f>
        <v/>
      </c>
      <c r="J53" s="216" t="str">
        <f>IFERROR(VLOOKUP($I53,'Institution Evaluation'!$A$55:$F$346,2,0),IFERROR(VLOOKUP($I53,'Privacy Analyst Evaluation'!$A$46:$F$120,2,0),""))</f>
        <v/>
      </c>
      <c r="K53" s="216" t="str">
        <f>IFERROR(VLOOKUP($I53,'Institution Evaluation'!$A$55:$F$346,3,0),IFERROR(VLOOKUP($I53,'Privacy Analyst Evaluation'!$A$46:$F$120,3,0),""))&amp;""</f>
        <v/>
      </c>
      <c r="L53" s="216" t="str">
        <f>IFERROR(VLOOKUP($I53,'Institution Evaluation'!$A$55:$F$346,4,0),IFERROR(VLOOKUP($I53,'Privacy Analyst Evaluation'!$A$46:$F$120,4,0),""))&amp;""</f>
        <v/>
      </c>
      <c r="M53" s="216" t="str">
        <f>IFERROR(VLOOKUP($I53,'Institution Evaluation'!$A$55:$F$346,6,0),IFERROR(VLOOKUP($I53,'Privacy Analyst Evaluation'!$A$46:$F$120,6,0),""))&amp;""</f>
        <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row>
    <row r="54" spans="1:338" ht="30" x14ac:dyDescent="0.3">
      <c r="A54" s="216">
        <f>IFERROR(IF($A53+1&gt;'(backend scoring)'!$T$335,"",$A53+1),"")</f>
        <v>30</v>
      </c>
      <c r="B54" s="216" t="str">
        <f>_xlfn.XLOOKUP($A54,'(backend scoring)'!$V$2:$V$333,'(backend scoring)'!$A$2:$A$333,"")</f>
        <v>AAAI-08</v>
      </c>
      <c r="C54" s="216" t="str">
        <f>IFERROR(VLOOKUP($B54,'Institution Evaluation'!$A$55:$F$346,2,0),IFERROR(VLOOKUP($B54,'Privacy Analyst Evaluation'!$A$46:$F$120,2,0),""))&amp;""</f>
        <v>Are you storing any passwords in plaintext?*</v>
      </c>
      <c r="D54" s="216" t="str">
        <f>IFERROR(VLOOKUP($B54,'Institution Evaluation'!$A$55:$F$346,3,0),IFERROR(VLOOKUP($B54,'Privacy Analyst Evaluation'!$A$46:$F$120,3,0),""))&amp;""</f>
        <v>No</v>
      </c>
      <c r="E54" s="216" t="str">
        <f>IFERROR(VLOOKUP($B54,'Institution Evaluation'!$A$55:$F$346,4,0),IFERROR(VLOOKUP($B54,'Privacy Analyst Evaluation'!$A$46:$F$120,4,0),""))&amp;""</f>
        <v/>
      </c>
      <c r="F54" s="216" t="str">
        <f>IFERROR(VLOOKUP($B54,'Institution Evaluation'!$A$55:$F$346,6,0),IFERROR(VLOOKUP($B54,'Privacy Analyst Evaluation'!$A$46:$F$120,6,0),""))&amp;""</f>
        <v/>
      </c>
      <c r="G54" s="217"/>
      <c r="H54" s="216" t="str">
        <f>IFERROR(IF($H53+1&gt;'(backend scoring)'!$Q$335,"",$H53+1),"")</f>
        <v/>
      </c>
      <c r="I54" s="216" t="str">
        <f>_xlfn.XLOOKUP($H54,'(backend scoring)'!$S$2:$S$333,'(backend scoring)'!$A$2:$A$333,"")</f>
        <v/>
      </c>
      <c r="J54" s="216" t="str">
        <f>IFERROR(VLOOKUP($I54,'Institution Evaluation'!$A$55:$F$346,2,0),IFERROR(VLOOKUP($I54,'Privacy Analyst Evaluation'!$A$46:$F$120,2,0),""))</f>
        <v/>
      </c>
      <c r="K54" s="216" t="str">
        <f>IFERROR(VLOOKUP($I54,'Institution Evaluation'!$A$55:$F$346,3,0),IFERROR(VLOOKUP($I54,'Privacy Analyst Evaluation'!$A$46:$F$120,3,0),""))&amp;""</f>
        <v/>
      </c>
      <c r="L54" s="216" t="str">
        <f>IFERROR(VLOOKUP($I54,'Institution Evaluation'!$A$55:$F$346,4,0),IFERROR(VLOOKUP($I54,'Privacy Analyst Evaluation'!$A$46:$F$120,4,0),""))&amp;""</f>
        <v/>
      </c>
      <c r="M54" s="216" t="str">
        <f>IFERROR(VLOOKUP($I54,'Institution Evaluation'!$A$55:$F$346,6,0),IFERROR(VLOOKUP($I54,'Privacy Analyst Evaluation'!$A$46:$F$120,6,0),""))&amp;""</f>
        <v/>
      </c>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row>
    <row r="55" spans="1:338" ht="75" x14ac:dyDescent="0.3">
      <c r="A55" s="216">
        <f>IFERROR(IF($A54+1&gt;'(backend scoring)'!$T$335,"",$A54+1),"")</f>
        <v>31</v>
      </c>
      <c r="B55" s="216" t="str">
        <f>_xlfn.XLOOKUP($A55,'(backend scoring)'!$V$2:$V$333,'(backend scoring)'!$A$2:$A$333,"")</f>
        <v>AAAI-09</v>
      </c>
      <c r="C55" s="216" t="str">
        <f>IFERROR(VLOOKUP($B55,'Institution Evaluation'!$A$55:$F$346,2,0),IFERROR(VLOOKUP($B55,'Privacy Analyst Evaluation'!$A$46:$F$120,2,0),""))&amp;""</f>
        <v>Are audit logs available that include AT LEAST all of the following: login, logout, actions performed, and source IP address?*</v>
      </c>
      <c r="D55" s="216" t="str">
        <f>IFERROR(VLOOKUP($B55,'Institution Evaluation'!$A$55:$F$346,3,0),IFERROR(VLOOKUP($B55,'Privacy Analyst Evaluation'!$A$46:$F$120,3,0),""))&amp;""</f>
        <v>Yes</v>
      </c>
      <c r="E55" s="216" t="str">
        <f>IFERROR(VLOOKUP($B55,'Institution Evaluation'!$A$55:$F$346,4,0),IFERROR(VLOOKUP($B55,'Privacy Analyst Evaluation'!$A$46:$F$120,4,0),""))&amp;""</f>
        <v/>
      </c>
      <c r="F55" s="216" t="str">
        <f>IFERROR(VLOOKUP($B55,'Institution Evaluation'!$A$55:$F$346,6,0),IFERROR(VLOOKUP($B55,'Privacy Analyst Evaluation'!$A$46:$F$120,6,0),""))&amp;""</f>
        <v/>
      </c>
      <c r="G55" s="217"/>
      <c r="H55" s="216" t="str">
        <f>IFERROR(IF($H54+1&gt;'(backend scoring)'!$Q$335,"",$H54+1),"")</f>
        <v/>
      </c>
      <c r="I55" s="216" t="str">
        <f>_xlfn.XLOOKUP($H55,'(backend scoring)'!$S$2:$S$333,'(backend scoring)'!$A$2:$A$333,"")</f>
        <v/>
      </c>
      <c r="J55" s="216" t="str">
        <f>IFERROR(VLOOKUP($I55,'Institution Evaluation'!$A$55:$F$346,2,0),IFERROR(VLOOKUP($I55,'Privacy Analyst Evaluation'!$A$46:$F$120,2,0),""))</f>
        <v/>
      </c>
      <c r="K55" s="216" t="str">
        <f>IFERROR(VLOOKUP($I55,'Institution Evaluation'!$A$55:$F$346,3,0),IFERROR(VLOOKUP($I55,'Privacy Analyst Evaluation'!$A$46:$F$120,3,0),""))&amp;""</f>
        <v/>
      </c>
      <c r="L55" s="216" t="str">
        <f>IFERROR(VLOOKUP($I55,'Institution Evaluation'!$A$55:$F$346,4,0),IFERROR(VLOOKUP($I55,'Privacy Analyst Evaluation'!$A$46:$F$120,4,0),""))&amp;""</f>
        <v/>
      </c>
      <c r="M55" s="216" t="str">
        <f>IFERROR(VLOOKUP($I55,'Institution Evaluation'!$A$55:$F$346,6,0),IFERROR(VLOOKUP($I55,'Privacy Analyst Evaluation'!$A$46:$F$120,6,0),""))&amp;""</f>
        <v/>
      </c>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row>
    <row r="56" spans="1:338" ht="405" x14ac:dyDescent="0.3">
      <c r="A56" s="216">
        <f>IFERROR(IF($A55+1&gt;'(backend scoring)'!$T$335,"",$A55+1),"")</f>
        <v>32</v>
      </c>
      <c r="B56" s="216" t="str">
        <f>_xlfn.XLOOKUP($A56,'(backend scoring)'!$V$2:$V$333,'(backend scoring)'!$A$2:$A$333,"")</f>
        <v>AAAI-10</v>
      </c>
      <c r="C56" s="216" t="str">
        <f>IFERROR(VLOOKUP($B56,'Institution Evaluation'!$A$55:$F$346,2,0),IFERROR(VLOOKUP($B56,'Privacy Analyst Evaluation'!$A$46:$F$120,2,0),""))&amp;""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56" s="216" t="str">
        <f>IFERROR(VLOOKUP($B56,'Institution Evaluation'!$A$55:$F$346,3,0),IFERROR(VLOOKUP($B56,'Privacy Analyst Evaluation'!$A$46:$F$120,3,0),""))&amp;""</f>
        <v xml:space="preserve">A) The system to access event logs is built into the base Cirrus Identity services. See https://blog.cirrusidentity.com/documentation/self-service-metrics for details.  
B) As outlined by "A", there are no additional customer requirements to implement logging. 
C) Customers may also subscribe to the Cirrus Identity Log API (https://www.cirrusidentity.com/documentation/log-api) to stream event logs into a SIEM or log collector tool of their choosing. There is a nominal additional fee for this capability. There is no material difference in the type of information available as outlined by "A". </v>
      </c>
      <c r="E56" s="216" t="str">
        <f>IFERROR(VLOOKUP($B56,'Institution Evaluation'!$A$55:$F$346,4,0),IFERROR(VLOOKUP($B56,'Privacy Analyst Evaluation'!$A$46:$F$120,4,0),""))&amp;""</f>
        <v/>
      </c>
      <c r="F56" s="216" t="str">
        <f>IFERROR(VLOOKUP($B56,'Institution Evaluation'!$A$55:$F$346,6,0),IFERROR(VLOOKUP($B56,'Privacy Analyst Evaluation'!$A$46:$F$120,6,0),""))&amp;""</f>
        <v/>
      </c>
      <c r="G56" s="217"/>
      <c r="H56" s="216" t="str">
        <f>IFERROR(IF($H55+1&gt;'(backend scoring)'!$Q$335,"",$H55+1),"")</f>
        <v/>
      </c>
      <c r="I56" s="216" t="str">
        <f>_xlfn.XLOOKUP($H56,'(backend scoring)'!$S$2:$S$333,'(backend scoring)'!$A$2:$A$333,"")</f>
        <v/>
      </c>
      <c r="J56" s="216" t="str">
        <f>IFERROR(VLOOKUP($I56,'Institution Evaluation'!$A$55:$F$346,2,0),IFERROR(VLOOKUP($I56,'Privacy Analyst Evaluation'!$A$46:$F$120,2,0),""))</f>
        <v/>
      </c>
      <c r="K56" s="216" t="str">
        <f>IFERROR(VLOOKUP($I56,'Institution Evaluation'!$A$55:$F$346,3,0),IFERROR(VLOOKUP($I56,'Privacy Analyst Evaluation'!$A$46:$F$120,3,0),""))&amp;""</f>
        <v/>
      </c>
      <c r="L56" s="216" t="str">
        <f>IFERROR(VLOOKUP($I56,'Institution Evaluation'!$A$55:$F$346,4,0),IFERROR(VLOOKUP($I56,'Privacy Analyst Evaluation'!$A$46:$F$120,4,0),""))&amp;""</f>
        <v/>
      </c>
      <c r="M56" s="216" t="str">
        <f>IFERROR(VLOOKUP($I56,'Institution Evaluation'!$A$55:$F$346,6,0),IFERROR(VLOOKUP($I56,'Privacy Analyst Evaluation'!$A$46:$F$120,6,0),""))&amp;""</f>
        <v/>
      </c>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row>
    <row r="57" spans="1:338" ht="90" x14ac:dyDescent="0.3">
      <c r="A57" s="216">
        <f>IFERROR(IF($A56+1&gt;'(backend scoring)'!$T$335,"",$A56+1),"")</f>
        <v>33</v>
      </c>
      <c r="B57" s="216" t="str">
        <f>_xlfn.XLOOKUP($A57,'(backend scoring)'!$V$2:$V$333,'(backend scoring)'!$A$2:$A$333,"")</f>
        <v>AAAI-11</v>
      </c>
      <c r="C57" s="216" t="str">
        <f>IFERROR(VLOOKUP($B57,'Institution Evaluation'!$A$55:$F$346,2,0),IFERROR(VLOOKUP($B57,'Privacy Analyst Evaluation'!$A$46:$F$120,2,0),""))&amp;""</f>
        <v>Can you provide the institution documentation regarding the retention period for those logs, how logs are protected, and whether they are accessible to the customer (and if so, how)?*</v>
      </c>
      <c r="D57" s="216" t="str">
        <f>IFERROR(VLOOKUP($B57,'Institution Evaluation'!$A$55:$F$346,3,0),IFERROR(VLOOKUP($B57,'Privacy Analyst Evaluation'!$A$46:$F$120,3,0),""))&amp;""</f>
        <v>Yes</v>
      </c>
      <c r="E57" s="216" t="str">
        <f>IFERROR(VLOOKUP($B57,'Institution Evaluation'!$A$55:$F$346,4,0),IFERROR(VLOOKUP($B57,'Privacy Analyst Evaluation'!$A$46:$F$120,4,0),""))&amp;""</f>
        <v/>
      </c>
      <c r="F57" s="216" t="str">
        <f>IFERROR(VLOOKUP($B57,'Institution Evaluation'!$A$55:$F$346,6,0),IFERROR(VLOOKUP($B57,'Privacy Analyst Evaluation'!$A$46:$F$120,6,0),""))&amp;""</f>
        <v/>
      </c>
      <c r="G57" s="217"/>
      <c r="H57" s="216" t="str">
        <f>IFERROR(IF($H56+1&gt;'(backend scoring)'!$Q$335,"",$H56+1),"")</f>
        <v/>
      </c>
      <c r="I57" s="216" t="str">
        <f>_xlfn.XLOOKUP($H57,'(backend scoring)'!$S$2:$S$333,'(backend scoring)'!$A$2:$A$333,"")</f>
        <v/>
      </c>
      <c r="J57" s="216" t="str">
        <f>IFERROR(VLOOKUP($I57,'Institution Evaluation'!$A$55:$F$346,2,0),IFERROR(VLOOKUP($I57,'Privacy Analyst Evaluation'!$A$46:$F$120,2,0),""))</f>
        <v/>
      </c>
      <c r="K57" s="216" t="str">
        <f>IFERROR(VLOOKUP($I57,'Institution Evaluation'!$A$55:$F$346,3,0),IFERROR(VLOOKUP($I57,'Privacy Analyst Evaluation'!$A$46:$F$120,3,0),""))&amp;""</f>
        <v/>
      </c>
      <c r="L57" s="216" t="str">
        <f>IFERROR(VLOOKUP($I57,'Institution Evaluation'!$A$55:$F$346,4,0),IFERROR(VLOOKUP($I57,'Privacy Analyst Evaluation'!$A$46:$F$120,4,0),""))&amp;""</f>
        <v/>
      </c>
      <c r="M57" s="216" t="str">
        <f>IFERROR(VLOOKUP($I57,'Institution Evaluation'!$A$55:$F$346,6,0),IFERROR(VLOOKUP($I57,'Privacy Analyst Evaluation'!$A$46:$F$120,6,0),""))&amp;""</f>
        <v/>
      </c>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row>
    <row r="58" spans="1:338" ht="225" x14ac:dyDescent="0.3">
      <c r="A58" s="216">
        <f>IFERROR(IF($A57+1&gt;'(backend scoring)'!$T$335,"",$A57+1),"")</f>
        <v>34</v>
      </c>
      <c r="B58" s="216" t="str">
        <f>_xlfn.XLOOKUP($A58,'(backend scoring)'!$V$2:$V$333,'(backend scoring)'!$A$2:$A$333,"")</f>
        <v>CHNG-01</v>
      </c>
      <c r="C58" s="216" t="str">
        <f>IFERROR(VLOOKUP($B58,'Institution Evaluation'!$A$55:$F$346,2,0),IFERROR(VLOOKUP($B58,'Privacy Analyst Evaluation'!$A$46:$F$120,2,0),""))&amp;""</f>
        <v>Will the institution be notified of major changes to your environment that could impact the institution's security posture?*</v>
      </c>
      <c r="D58" s="216" t="str">
        <f>IFERROR(VLOOKUP($B58,'Institution Evaluation'!$A$55:$F$346,3,0),IFERROR(VLOOKUP($B58,'Privacy Analyst Evaluation'!$A$46:$F$120,3,0),""))&amp;""</f>
        <v>Yes</v>
      </c>
      <c r="E58" s="216" t="str">
        <f>IFERROR(VLOOKUP($B58,'Institution Evaluation'!$A$55:$F$346,4,0),IFERROR(VLOOKUP($B58,'Privacy Analyst Evaluation'!$A$46:$F$120,4,0),""))&amp;""</f>
        <v>Cirrus Identity assesses the impact of major changes on the services delivered. If the assessment indicates the security posture changes from what has been specified to customers, a communication will be sent to the operational contacts for each customer. This communication will take place as stipulated by contract.</v>
      </c>
      <c r="F58" s="216" t="str">
        <f>IFERROR(VLOOKUP($B58,'Institution Evaluation'!$A$55:$F$346,6,0),IFERROR(VLOOKUP($B58,'Privacy Analyst Evaluation'!$A$46:$F$120,6,0),""))&amp;""</f>
        <v/>
      </c>
      <c r="G58" s="217"/>
      <c r="H58" s="216" t="str">
        <f>IFERROR(IF($H57+1&gt;'(backend scoring)'!$Q$335,"",$H57+1),"")</f>
        <v/>
      </c>
      <c r="I58" s="216" t="str">
        <f>_xlfn.XLOOKUP($H58,'(backend scoring)'!$S$2:$S$333,'(backend scoring)'!$A$2:$A$333,"")</f>
        <v/>
      </c>
      <c r="J58" s="216" t="str">
        <f>IFERROR(VLOOKUP($I58,'Institution Evaluation'!$A$55:$F$346,2,0),IFERROR(VLOOKUP($I58,'Privacy Analyst Evaluation'!$A$46:$F$120,2,0),""))</f>
        <v/>
      </c>
      <c r="K58" s="216" t="str">
        <f>IFERROR(VLOOKUP($I58,'Institution Evaluation'!$A$55:$F$346,3,0),IFERROR(VLOOKUP($I58,'Privacy Analyst Evaluation'!$A$46:$F$120,3,0),""))&amp;""</f>
        <v/>
      </c>
      <c r="L58" s="216" t="str">
        <f>IFERROR(VLOOKUP($I58,'Institution Evaluation'!$A$55:$F$346,4,0),IFERROR(VLOOKUP($I58,'Privacy Analyst Evaluation'!$A$46:$F$120,4,0),""))&amp;""</f>
        <v/>
      </c>
      <c r="M58" s="216" t="str">
        <f>IFERROR(VLOOKUP($I58,'Institution Evaluation'!$A$55:$F$346,6,0),IFERROR(VLOOKUP($I58,'Privacy Analyst Evaluation'!$A$46:$F$120,6,0),""))&amp;""</f>
        <v/>
      </c>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row>
    <row r="59" spans="1:338" ht="360" x14ac:dyDescent="0.3">
      <c r="A59" s="216">
        <f>IFERROR(IF($A58+1&gt;'(backend scoring)'!$T$335,"",$A58+1),"")</f>
        <v>35</v>
      </c>
      <c r="B59" s="216" t="str">
        <f>_xlfn.XLOOKUP($A59,'(backend scoring)'!$V$2:$V$333,'(backend scoring)'!$A$2:$A$333,"")</f>
        <v>CHNG-02</v>
      </c>
      <c r="C59" s="216" t="str">
        <f>IFERROR(VLOOKUP($B59,'Institution Evaluation'!$A$55:$F$346,2,0),IFERROR(VLOOKUP($B59,'Privacy Analyst Evaluation'!$A$46:$F$120,2,0),""))&amp;""</f>
        <v>Does the system support client customizations from one release to another?*</v>
      </c>
      <c r="D59" s="216" t="str">
        <f>IFERROR(VLOOKUP($B59,'Institution Evaluation'!$A$55:$F$346,3,0),IFERROR(VLOOKUP($B59,'Privacy Analyst Evaluation'!$A$46:$F$120,3,0),""))&amp;""</f>
        <v>Yes</v>
      </c>
      <c r="E59" s="216" t="str">
        <f>IFERROR(VLOOKUP($B59,'Institution Evaluation'!$A$55:$F$346,4,0),IFERROR(VLOOKUP($B59,'Privacy Analyst Evaluation'!$A$46:$F$120,4,0),""))&amp;""</f>
        <v>In limited cases, Cirrus Identity will support custom configuration for individual customers -- usually implemented with a professional services agreement. Any custom functionality is implemented in the production code base and incorporated in our general CI/CD workflow so the custom functionality is maintained with any subsequent changes to services. Separate support, compliance, and accessibility conditions may apply to custom configuration; and would be reflected in the individual customer's subscription.</v>
      </c>
      <c r="F59" s="216" t="str">
        <f>IFERROR(VLOOKUP($B59,'Institution Evaluation'!$A$55:$F$346,6,0),IFERROR(VLOOKUP($B59,'Privacy Analyst Evaluation'!$A$46:$F$120,6,0),""))&amp;""</f>
        <v/>
      </c>
      <c r="G59" s="217"/>
      <c r="H59" s="216" t="str">
        <f>IFERROR(IF($H58+1&gt;'(backend scoring)'!$Q$335,"",$H58+1),"")</f>
        <v/>
      </c>
      <c r="I59" s="216" t="str">
        <f>_xlfn.XLOOKUP($H59,'(backend scoring)'!$S$2:$S$333,'(backend scoring)'!$A$2:$A$333,"")</f>
        <v/>
      </c>
      <c r="J59" s="216" t="str">
        <f>IFERROR(VLOOKUP($I59,'Institution Evaluation'!$A$55:$F$346,2,0),IFERROR(VLOOKUP($I59,'Privacy Analyst Evaluation'!$A$46:$F$120,2,0),""))</f>
        <v/>
      </c>
      <c r="K59" s="216" t="str">
        <f>IFERROR(VLOOKUP($I59,'Institution Evaluation'!$A$55:$F$346,3,0),IFERROR(VLOOKUP($I59,'Privacy Analyst Evaluation'!$A$46:$F$120,3,0),""))&amp;""</f>
        <v/>
      </c>
      <c r="L59" s="216" t="str">
        <f>IFERROR(VLOOKUP($I59,'Institution Evaluation'!$A$55:$F$346,4,0),IFERROR(VLOOKUP($I59,'Privacy Analyst Evaluation'!$A$46:$F$120,4,0),""))&amp;""</f>
        <v/>
      </c>
      <c r="M59" s="216" t="str">
        <f>IFERROR(VLOOKUP($I59,'Institution Evaluation'!$A$55:$F$346,6,0),IFERROR(VLOOKUP($I59,'Privacy Analyst Evaluation'!$A$46:$F$120,6,0),""))&amp;""</f>
        <v/>
      </c>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row>
    <row r="60" spans="1:338" ht="270" x14ac:dyDescent="0.3">
      <c r="A60" s="216">
        <f>IFERROR(IF($A59+1&gt;'(backend scoring)'!$T$335,"",$A59+1),"")</f>
        <v>36</v>
      </c>
      <c r="B60" s="216" t="str">
        <f>_xlfn.XLOOKUP($A60,'(backend scoring)'!$V$2:$V$333,'(backend scoring)'!$A$2:$A$333,"")</f>
        <v>CHNG-03</v>
      </c>
      <c r="C60" s="216" t="str">
        <f>IFERROR(VLOOKUP($B60,'Institution Evaluation'!$A$55:$F$346,2,0),IFERROR(VLOOKUP($B60,'Privacy Analyst Evaluation'!$A$46:$F$120,2,0),""))&amp;""</f>
        <v>Do you have an implemented system configuration management process (e.g.,secure "gold" images, etc.)?*</v>
      </c>
      <c r="D60" s="216" t="str">
        <f>IFERROR(VLOOKUP($B60,'Institution Evaluation'!$A$55:$F$346,3,0),IFERROR(VLOOKUP($B60,'Privacy Analyst Evaluation'!$A$46:$F$120,3,0),""))&amp;""</f>
        <v>Yes</v>
      </c>
      <c r="E60" s="216" t="str">
        <f>IFERROR(VLOOKUP($B60,'Institution Evaluation'!$A$55:$F$346,4,0),IFERROR(VLOOKUP($B60,'Privacy Analyst Evaluation'!$A$46:$F$120,4,0),""))&amp;""</f>
        <v>Infrastructure is configured using AWS CloudFormation or terraform (https://www.terraform.io/) solutions - aka "infrastructure as code".  The artifacts for these solutions are managed just like any other Cirrus Identity code and are maintained using git. container images are widely used to maintain containerized deployments within our Kubernetes based infrastructure.</v>
      </c>
      <c r="F60" s="216" t="str">
        <f>IFERROR(VLOOKUP($B60,'Institution Evaluation'!$A$55:$F$346,6,0),IFERROR(VLOOKUP($B60,'Privacy Analyst Evaluation'!$A$46:$F$120,6,0),""))&amp;""</f>
        <v/>
      </c>
      <c r="G60" s="217"/>
      <c r="H60" s="216" t="str">
        <f>IFERROR(IF($H59+1&gt;'(backend scoring)'!$Q$335,"",$H59+1),"")</f>
        <v/>
      </c>
      <c r="I60" s="216" t="str">
        <f>_xlfn.XLOOKUP($H60,'(backend scoring)'!$S$2:$S$333,'(backend scoring)'!$A$2:$A$333,"")</f>
        <v/>
      </c>
      <c r="J60" s="216" t="str">
        <f>IFERROR(VLOOKUP($I60,'Institution Evaluation'!$A$55:$F$346,2,0),IFERROR(VLOOKUP($I60,'Privacy Analyst Evaluation'!$A$46:$F$120,2,0),""))</f>
        <v/>
      </c>
      <c r="K60" s="216" t="str">
        <f>IFERROR(VLOOKUP($I60,'Institution Evaluation'!$A$55:$F$346,3,0),IFERROR(VLOOKUP($I60,'Privacy Analyst Evaluation'!$A$46:$F$120,3,0),""))&amp;""</f>
        <v/>
      </c>
      <c r="L60" s="216" t="str">
        <f>IFERROR(VLOOKUP($I60,'Institution Evaluation'!$A$55:$F$346,4,0),IFERROR(VLOOKUP($I60,'Privacy Analyst Evaluation'!$A$46:$F$120,4,0),""))&amp;""</f>
        <v/>
      </c>
      <c r="M60" s="216" t="str">
        <f>IFERROR(VLOOKUP($I60,'Institution Evaluation'!$A$55:$F$346,6,0),IFERROR(VLOOKUP($I60,'Privacy Analyst Evaluation'!$A$46:$F$120,6,0),""))&amp;""</f>
        <v/>
      </c>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row>
    <row r="61" spans="1:338" ht="90" x14ac:dyDescent="0.3">
      <c r="A61" s="216">
        <f>IFERROR(IF($A60+1&gt;'(backend scoring)'!$T$335,"",$A60+1),"")</f>
        <v>37</v>
      </c>
      <c r="B61" s="216" t="str">
        <f>_xlfn.XLOOKUP($A61,'(backend scoring)'!$V$2:$V$333,'(backend scoring)'!$A$2:$A$333,"")</f>
        <v>DATA-01</v>
      </c>
      <c r="C61" s="216" t="str">
        <f>IFERROR(VLOOKUP($B61,'Institution Evaluation'!$A$55:$F$346,2,0),IFERROR(VLOOKUP($B61,'Privacy Analyst Evaluation'!$A$46:$F$120,2,0),""))&amp;""</f>
        <v>Will the institution's data be stored on any devices (database servers, file servers, SAN, NAS, etc.) configured with non-RFC 1918/4193 (i.e., publicly routable) IP addresses?*</v>
      </c>
      <c r="D61" s="216" t="str">
        <f>IFERROR(VLOOKUP($B61,'Institution Evaluation'!$A$55:$F$346,3,0),IFERROR(VLOOKUP($B61,'Privacy Analyst Evaluation'!$A$46:$F$120,3,0),""))&amp;""</f>
        <v>No</v>
      </c>
      <c r="E61" s="216" t="str">
        <f>IFERROR(VLOOKUP($B61,'Institution Evaluation'!$A$55:$F$346,4,0),IFERROR(VLOOKUP($B61,'Privacy Analyst Evaluation'!$A$46:$F$120,4,0),""))&amp;""</f>
        <v/>
      </c>
      <c r="F61" s="216" t="str">
        <f>IFERROR(VLOOKUP($B61,'Institution Evaluation'!$A$55:$F$346,6,0),IFERROR(VLOOKUP($B61,'Privacy Analyst Evaluation'!$A$46:$F$120,6,0),""))&amp;""</f>
        <v/>
      </c>
      <c r="G61" s="217"/>
      <c r="H61" s="216" t="str">
        <f>IFERROR(IF($H60+1&gt;'(backend scoring)'!$Q$335,"",$H60+1),"")</f>
        <v/>
      </c>
      <c r="I61" s="216" t="str">
        <f>_xlfn.XLOOKUP($H61,'(backend scoring)'!$S$2:$S$333,'(backend scoring)'!$A$2:$A$333,"")</f>
        <v/>
      </c>
      <c r="J61" s="216" t="str">
        <f>IFERROR(VLOOKUP($I61,'Institution Evaluation'!$A$55:$F$346,2,0),IFERROR(VLOOKUP($I61,'Privacy Analyst Evaluation'!$A$46:$F$120,2,0),""))</f>
        <v/>
      </c>
      <c r="K61" s="216" t="str">
        <f>IFERROR(VLOOKUP($I61,'Institution Evaluation'!$A$55:$F$346,3,0),IFERROR(VLOOKUP($I61,'Privacy Analyst Evaluation'!$A$46:$F$120,3,0),""))&amp;""</f>
        <v/>
      </c>
      <c r="L61" s="216" t="str">
        <f>IFERROR(VLOOKUP($I61,'Institution Evaluation'!$A$55:$F$346,4,0),IFERROR(VLOOKUP($I61,'Privacy Analyst Evaluation'!$A$46:$F$120,4,0),""))&amp;""</f>
        <v/>
      </c>
      <c r="M61" s="216" t="str">
        <f>IFERROR(VLOOKUP($I61,'Institution Evaluation'!$A$55:$F$346,6,0),IFERROR(VLOOKUP($I61,'Privacy Analyst Evaluation'!$A$46:$F$120,6,0),""))&amp;""</f>
        <v/>
      </c>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row>
    <row r="62" spans="1:338" ht="405" x14ac:dyDescent="0.3">
      <c r="A62" s="216">
        <f>IFERROR(IF($A61+1&gt;'(backend scoring)'!$T$335,"",$A61+1),"")</f>
        <v>38</v>
      </c>
      <c r="B62" s="216" t="str">
        <f>_xlfn.XLOOKUP($A62,'(backend scoring)'!$V$2:$V$333,'(backend scoring)'!$A$2:$A$333,"")</f>
        <v>DATA-02</v>
      </c>
      <c r="C62" s="216" t="str">
        <f>IFERROR(VLOOKUP($B62,'Institution Evaluation'!$A$55:$F$346,2,0),IFERROR(VLOOKUP($B62,'Privacy Analyst Evaluation'!$A$46:$F$120,2,0),""))&amp;""</f>
        <v>Is the transport of sensitive data encrypted using security protocols/algorithms (e.g., system-to-client)?*</v>
      </c>
      <c r="D62" s="216" t="str">
        <f>IFERROR(VLOOKUP($B62,'Institution Evaluation'!$A$55:$F$346,3,0),IFERROR(VLOOKUP($B62,'Privacy Analyst Evaluation'!$A$46:$F$120,3,0),""))&amp;""</f>
        <v>Yes</v>
      </c>
      <c r="E62" s="216" t="str">
        <f>IFERROR(VLOOKUP($B62,'Institution Evaluation'!$A$55:$F$346,4,0),IFERROR(VLOOKUP($B62,'Privacy Analyst Evaluation'!$A$46:$F$120,4,0),""))&amp;""</f>
        <v xml:space="preserve">Data in transit is encrypted by TLS 1.2 -- as of Fall 2020, a TLS version below 1.2 is not supported. Load balancers are currently configured to use the ELBSecurityPolicy-TLS-1-2-Ext-2018-06 for the majority of products. New product deployments are migrating to use ELBSecurityPolicy-TLS13-1-2-2021-06 as the standard. See https://docs.aws.amazon.com/elasticloadbalancing/latest/network/describe-ssl-policies.html for details. SAML V2 messages are also signed to prevent tampering. Cirrus engineering utilizes SSH and VPN to access the AWS Virtual Private Cloud (VPC). </v>
      </c>
      <c r="F62" s="216" t="str">
        <f>IFERROR(VLOOKUP($B62,'Institution Evaluation'!$A$55:$F$346,6,0),IFERROR(VLOOKUP($B62,'Privacy Analyst Evaluation'!$A$46:$F$120,6,0),""))&amp;""</f>
        <v/>
      </c>
      <c r="G62" s="217"/>
      <c r="H62" s="216" t="str">
        <f>IFERROR(IF($H61+1&gt;'(backend scoring)'!$Q$335,"",$H61+1),"")</f>
        <v/>
      </c>
      <c r="I62" s="216" t="str">
        <f>_xlfn.XLOOKUP($H62,'(backend scoring)'!$S$2:$S$333,'(backend scoring)'!$A$2:$A$333,"")</f>
        <v/>
      </c>
      <c r="J62" s="216" t="str">
        <f>IFERROR(VLOOKUP($I62,'Institution Evaluation'!$A$55:$F$346,2,0),IFERROR(VLOOKUP($I62,'Privacy Analyst Evaluation'!$A$46:$F$120,2,0),""))</f>
        <v/>
      </c>
      <c r="K62" s="216" t="str">
        <f>IFERROR(VLOOKUP($I62,'Institution Evaluation'!$A$55:$F$346,3,0),IFERROR(VLOOKUP($I62,'Privacy Analyst Evaluation'!$A$46:$F$120,3,0),""))&amp;""</f>
        <v/>
      </c>
      <c r="L62" s="216" t="str">
        <f>IFERROR(VLOOKUP($I62,'Institution Evaluation'!$A$55:$F$346,4,0),IFERROR(VLOOKUP($I62,'Privacy Analyst Evaluation'!$A$46:$F$120,4,0),""))&amp;""</f>
        <v/>
      </c>
      <c r="M62" s="216" t="str">
        <f>IFERROR(VLOOKUP($I62,'Institution Evaluation'!$A$55:$F$346,6,0),IFERROR(VLOOKUP($I62,'Privacy Analyst Evaluation'!$A$46:$F$120,6,0),""))&amp;""</f>
        <v/>
      </c>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row>
    <row r="63" spans="1:338" ht="270" x14ac:dyDescent="0.3">
      <c r="A63" s="216">
        <f>IFERROR(IF($A62+1&gt;'(backend scoring)'!$T$335,"",$A62+1),"")</f>
        <v>39</v>
      </c>
      <c r="B63" s="216" t="str">
        <f>_xlfn.XLOOKUP($A63,'(backend scoring)'!$V$2:$V$333,'(backend scoring)'!$A$2:$A$333,"")</f>
        <v>DATA-03</v>
      </c>
      <c r="C63" s="216" t="str">
        <f>IFERROR(VLOOKUP($B63,'Institution Evaluation'!$A$55:$F$346,2,0),IFERROR(VLOOKUP($B63,'Privacy Analyst Evaluation'!$A$46:$F$120,2,0),""))&amp;""</f>
        <v>Is the storage of sensitive data encrypted using security protocols/algorithms (e.g., disk encryption, at-rest, files, and within a running database)?*</v>
      </c>
      <c r="D63" s="216" t="str">
        <f>IFERROR(VLOOKUP($B63,'Institution Evaluation'!$A$55:$F$346,3,0),IFERROR(VLOOKUP($B63,'Privacy Analyst Evaluation'!$A$46:$F$120,3,0),""))&amp;""</f>
        <v>Yes</v>
      </c>
      <c r="E63" s="216" t="str">
        <f>IFERROR(VLOOKUP($B63,'Institution Evaluation'!$A$55:$F$346,4,0),IFERROR(VLOOKUP($B63,'Privacy Analyst Evaluation'!$A$46:$F$120,4,0),""))&amp;""</f>
        <v>Data is encrypted at rest with KMS (Amazon’s key management service). Allowing AWS to manage the keys improves segregation of duties. EC2 volumes and RDS (the database) are encrypted at rest. Some data is also encrypted using envelope encryption (for example SAML keys). The master key for envelope security is region specific and managed by KMS, while the KMS generated data key is used cross-region.</v>
      </c>
      <c r="F63" s="216" t="str">
        <f>IFERROR(VLOOKUP($B63,'Institution Evaluation'!$A$55:$F$346,6,0),IFERROR(VLOOKUP($B63,'Privacy Analyst Evaluation'!$A$46:$F$120,6,0),""))&amp;""</f>
        <v/>
      </c>
      <c r="G63" s="217"/>
      <c r="H63" s="216" t="str">
        <f>IFERROR(IF($H62+1&gt;'(backend scoring)'!$Q$335,"",$H62+1),"")</f>
        <v/>
      </c>
      <c r="I63" s="216" t="str">
        <f>_xlfn.XLOOKUP($H63,'(backend scoring)'!$S$2:$S$333,'(backend scoring)'!$A$2:$A$333,"")</f>
        <v/>
      </c>
      <c r="J63" s="216" t="str">
        <f>IFERROR(VLOOKUP($I63,'Institution Evaluation'!$A$55:$F$346,2,0),IFERROR(VLOOKUP($I63,'Privacy Analyst Evaluation'!$A$46:$F$120,2,0),""))</f>
        <v/>
      </c>
      <c r="K63" s="216" t="str">
        <f>IFERROR(VLOOKUP($I63,'Institution Evaluation'!$A$55:$F$346,3,0),IFERROR(VLOOKUP($I63,'Privacy Analyst Evaluation'!$A$46:$F$120,3,0),""))&amp;""</f>
        <v/>
      </c>
      <c r="L63" s="216" t="str">
        <f>IFERROR(VLOOKUP($I63,'Institution Evaluation'!$A$55:$F$346,4,0),IFERROR(VLOOKUP($I63,'Privacy Analyst Evaluation'!$A$46:$F$120,4,0),""))&amp;""</f>
        <v/>
      </c>
      <c r="M63" s="216" t="str">
        <f>IFERROR(VLOOKUP($I63,'Institution Evaluation'!$A$55:$F$346,6,0),IFERROR(VLOOKUP($I63,'Privacy Analyst Evaluation'!$A$46:$F$120,6,0),""))&amp;""</f>
        <v/>
      </c>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row>
    <row r="64" spans="1:338" ht="210" x14ac:dyDescent="0.3">
      <c r="A64" s="216">
        <f>IFERROR(IF($A63+1&gt;'(backend scoring)'!$T$335,"",$A63+1),"")</f>
        <v>40</v>
      </c>
      <c r="B64" s="216" t="str">
        <f>_xlfn.XLOOKUP($A64,'(backend scoring)'!$V$2:$V$333,'(backend scoring)'!$A$2:$A$333,"")</f>
        <v>DATA-04</v>
      </c>
      <c r="C64" s="216" t="str">
        <f>IFERROR(VLOOKUP($B64,'Institution Evaluation'!$A$55:$F$346,2,0),IFERROR(VLOOKUP($B64,'Privacy Analyst Evaluation'!$A$46:$F$120,2,0),""))&amp;""</f>
        <v>Do all cryptographic modules in use in your solution conform to the Federal Information Processing Standards (FIPS PUB 140-2 or 140-3)?*</v>
      </c>
      <c r="D64" s="216" t="str">
        <f>IFERROR(VLOOKUP($B64,'Institution Evaluation'!$A$55:$F$346,3,0),IFERROR(VLOOKUP($B64,'Privacy Analyst Evaluation'!$A$46:$F$120,3,0),""))&amp;""</f>
        <v>No</v>
      </c>
      <c r="E64" s="216" t="str">
        <f>IFERROR(VLOOKUP($B64,'Institution Evaluation'!$A$55:$F$346,4,0),IFERROR(VLOOKUP($B64,'Privacy Analyst Evaluation'!$A$46:$F$120,4,0),""))&amp;""</f>
        <v>The current Bouncy Castle Java API and xmlseclib versions uses FIPS approved algorithms but is not validated to FIPS PUB 140-3. Cirrus Identity also does not currently utilize FIPS validated AWS endpoints or services. See https://aws.amazon.com/compliance/fips/ for details.</v>
      </c>
      <c r="F64" s="216" t="str">
        <f>IFERROR(VLOOKUP($B64,'Institution Evaluation'!$A$55:$F$346,6,0),IFERROR(VLOOKUP($B64,'Privacy Analyst Evaluation'!$A$46:$F$120,6,0),""))&amp;""</f>
        <v/>
      </c>
      <c r="G64" s="217"/>
      <c r="H64" s="216" t="str">
        <f>IFERROR(IF($H63+1&gt;'(backend scoring)'!$Q$335,"",$H63+1),"")</f>
        <v/>
      </c>
      <c r="I64" s="216" t="str">
        <f>_xlfn.XLOOKUP($H64,'(backend scoring)'!$S$2:$S$333,'(backend scoring)'!$A$2:$A$333,"")</f>
        <v/>
      </c>
      <c r="J64" s="216" t="str">
        <f>IFERROR(VLOOKUP($I64,'Institution Evaluation'!$A$55:$F$346,2,0),IFERROR(VLOOKUP($I64,'Privacy Analyst Evaluation'!$A$46:$F$120,2,0),""))</f>
        <v/>
      </c>
      <c r="K64" s="216" t="str">
        <f>IFERROR(VLOOKUP($I64,'Institution Evaluation'!$A$55:$F$346,3,0),IFERROR(VLOOKUP($I64,'Privacy Analyst Evaluation'!$A$46:$F$120,3,0),""))&amp;""</f>
        <v/>
      </c>
      <c r="L64" s="216" t="str">
        <f>IFERROR(VLOOKUP($I64,'Institution Evaluation'!$A$55:$F$346,4,0),IFERROR(VLOOKUP($I64,'Privacy Analyst Evaluation'!$A$46:$F$120,4,0),""))&amp;""</f>
        <v/>
      </c>
      <c r="M64" s="216" t="str">
        <f>IFERROR(VLOOKUP($I64,'Institution Evaluation'!$A$55:$F$346,6,0),IFERROR(VLOOKUP($I64,'Privacy Analyst Evaluation'!$A$46:$F$120,6,0),""))&amp;""</f>
        <v/>
      </c>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row>
    <row r="65" spans="1:338" ht="255" x14ac:dyDescent="0.3">
      <c r="A65" s="216">
        <f>IFERROR(IF($A64+1&gt;'(backend scoring)'!$T$335,"",$A64+1),"")</f>
        <v>41</v>
      </c>
      <c r="B65" s="216" t="str">
        <f>_xlfn.XLOOKUP($A65,'(backend scoring)'!$V$2:$V$333,'(backend scoring)'!$A$2:$A$333,"")</f>
        <v>DATA-05</v>
      </c>
      <c r="C65" s="216" t="str">
        <f>IFERROR(VLOOKUP($B65,'Institution Evaluation'!$A$55:$F$346,2,0),IFERROR(VLOOKUP($B65,'Privacy Analyst Evaluation'!$A$46:$F$120,2,0),""))&amp;""</f>
        <v>Will the institution's data be available within the system for a period of time at the completion of this contract?*</v>
      </c>
      <c r="D65" s="216" t="str">
        <f>IFERROR(VLOOKUP($B65,'Institution Evaluation'!$A$55:$F$346,3,0),IFERROR(VLOOKUP($B65,'Privacy Analyst Evaluation'!$A$46:$F$120,3,0),""))&amp;""</f>
        <v>Yes</v>
      </c>
      <c r="E65" s="216" t="str">
        <f>IFERROR(VLOOKUP($B65,'Institution Evaluation'!$A$55:$F$346,4,0),IFERROR(VLOOKUP($B65,'Privacy Analyst Evaluation'!$A$46:$F$120,4,0),""))&amp;""</f>
        <v>Default Cirrus Identity master terms contract language references the Cirrus Identity Privacy Policy (https://www.cirrusidentity.com/cirrus-trust-and-compliance) for data retention at the termination of a customer's contract. Unless altered by contract, customers have 30 days from contract termination to request return of data controlled by the customer.</v>
      </c>
      <c r="F65" s="216" t="str">
        <f>IFERROR(VLOOKUP($B65,'Institution Evaluation'!$A$55:$F$346,6,0),IFERROR(VLOOKUP($B65,'Privacy Analyst Evaluation'!$A$46:$F$120,6,0),""))&amp;""</f>
        <v/>
      </c>
      <c r="G65" s="217"/>
      <c r="H65" s="216" t="str">
        <f>IFERROR(IF($H64+1&gt;'(backend scoring)'!$Q$335,"",$H64+1),"")</f>
        <v/>
      </c>
      <c r="I65" s="216" t="str">
        <f>_xlfn.XLOOKUP($H65,'(backend scoring)'!$S$2:$S$333,'(backend scoring)'!$A$2:$A$333,"")</f>
        <v/>
      </c>
      <c r="J65" s="216" t="str">
        <f>IFERROR(VLOOKUP($I65,'Institution Evaluation'!$A$55:$F$346,2,0),IFERROR(VLOOKUP($I65,'Privacy Analyst Evaluation'!$A$46:$F$120,2,0),""))</f>
        <v/>
      </c>
      <c r="K65" s="216" t="str">
        <f>IFERROR(VLOOKUP($I65,'Institution Evaluation'!$A$55:$F$346,3,0),IFERROR(VLOOKUP($I65,'Privacy Analyst Evaluation'!$A$46:$F$120,3,0),""))&amp;""</f>
        <v/>
      </c>
      <c r="L65" s="216" t="str">
        <f>IFERROR(VLOOKUP($I65,'Institution Evaluation'!$A$55:$F$346,4,0),IFERROR(VLOOKUP($I65,'Privacy Analyst Evaluation'!$A$46:$F$120,4,0),""))&amp;""</f>
        <v/>
      </c>
      <c r="M65" s="216" t="str">
        <f>IFERROR(VLOOKUP($I65,'Institution Evaluation'!$A$55:$F$346,6,0),IFERROR(VLOOKUP($I65,'Privacy Analyst Evaluation'!$A$46:$F$120,6,0),""))&amp;""</f>
        <v/>
      </c>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row>
    <row r="66" spans="1:338" ht="210" x14ac:dyDescent="0.3">
      <c r="A66" s="216">
        <f>IFERROR(IF($A65+1&gt;'(backend scoring)'!$T$335,"",$A65+1),"")</f>
        <v>42</v>
      </c>
      <c r="B66" s="216" t="str">
        <f>_xlfn.XLOOKUP($A66,'(backend scoring)'!$V$2:$V$333,'(backend scoring)'!$A$2:$A$333,"")</f>
        <v>DATA-06</v>
      </c>
      <c r="C66" s="216" t="str">
        <f>IFERROR(VLOOKUP($B66,'Institution Evaluation'!$A$55:$F$346,2,0),IFERROR(VLOOKUP($B66,'Privacy Analyst Evaluation'!$A$46:$F$120,2,0),""))&amp;""</f>
        <v>Are these rights retained even through a provider acquisition or bankruptcy event?*</v>
      </c>
      <c r="D66" s="216" t="str">
        <f>IFERROR(VLOOKUP($B66,'Institution Evaluation'!$A$55:$F$346,3,0),IFERROR(VLOOKUP($B66,'Privacy Analyst Evaluation'!$A$46:$F$120,3,0),""))&amp;""</f>
        <v>Yes</v>
      </c>
      <c r="E66" s="216" t="str">
        <f>IFERROR(VLOOKUP($B66,'Institution Evaluation'!$A$55:$F$346,4,0),IFERROR(VLOOKUP($B66,'Privacy Analyst Evaluation'!$A$46:$F$120,4,0),""))&amp;""</f>
        <v>Unless altered by contract, default Cirrus Identity master terms contract language maintains customer rights provided Cirrus Identity may assign the entire master terms agreement without customer consent in connection with a merger, acquisition, corporate reorganization, or sale.</v>
      </c>
      <c r="F66" s="216" t="str">
        <f>IFERROR(VLOOKUP($B66,'Institution Evaluation'!$A$55:$F$346,6,0),IFERROR(VLOOKUP($B66,'Privacy Analyst Evaluation'!$A$46:$F$120,6,0),""))&amp;""</f>
        <v/>
      </c>
      <c r="G66" s="217"/>
      <c r="H66" s="216" t="str">
        <f>IFERROR(IF($H65+1&gt;'(backend scoring)'!$Q$335,"",$H65+1),"")</f>
        <v/>
      </c>
      <c r="I66" s="216" t="str">
        <f>_xlfn.XLOOKUP($H66,'(backend scoring)'!$S$2:$S$333,'(backend scoring)'!$A$2:$A$333,"")</f>
        <v/>
      </c>
      <c r="J66" s="216" t="str">
        <f>IFERROR(VLOOKUP($I66,'Institution Evaluation'!$A$55:$F$346,2,0),IFERROR(VLOOKUP($I66,'Privacy Analyst Evaluation'!$A$46:$F$120,2,0),""))</f>
        <v/>
      </c>
      <c r="K66" s="216" t="str">
        <f>IFERROR(VLOOKUP($I66,'Institution Evaluation'!$A$55:$F$346,3,0),IFERROR(VLOOKUP($I66,'Privacy Analyst Evaluation'!$A$46:$F$120,3,0),""))&amp;""</f>
        <v/>
      </c>
      <c r="L66" s="216" t="str">
        <f>IFERROR(VLOOKUP($I66,'Institution Evaluation'!$A$55:$F$346,4,0),IFERROR(VLOOKUP($I66,'Privacy Analyst Evaluation'!$A$46:$F$120,4,0),""))&amp;""</f>
        <v/>
      </c>
      <c r="M66" s="216" t="str">
        <f>IFERROR(VLOOKUP($I66,'Institution Evaluation'!$A$55:$F$346,6,0),IFERROR(VLOOKUP($I66,'Privacy Analyst Evaluation'!$A$46:$F$120,6,0),""))&amp;""</f>
        <v/>
      </c>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row>
    <row r="67" spans="1:338" ht="75" x14ac:dyDescent="0.3">
      <c r="A67" s="216">
        <f>IFERROR(IF($A66+1&gt;'(backend scoring)'!$T$335,"",$A66+1),"")</f>
        <v>43</v>
      </c>
      <c r="B67" s="216" t="str">
        <f>_xlfn.XLOOKUP($A67,'(backend scoring)'!$V$2:$V$333,'(backend scoring)'!$A$2:$A$333,"")</f>
        <v>DATA-07</v>
      </c>
      <c r="C67" s="216" t="str">
        <f>IFERROR(VLOOKUP($B67,'Institution Evaluation'!$A$55:$F$346,2,0),IFERROR(VLOOKUP($B67,'Privacy Analyst Evaluation'!$A$46:$F$120,2,0),""))&amp;""</f>
        <v>Do backups containing the institution's data ever leave the institution's data zone either physically or via network routing?*</v>
      </c>
      <c r="D67" s="216" t="str">
        <f>IFERROR(VLOOKUP($B67,'Institution Evaluation'!$A$55:$F$346,3,0),IFERROR(VLOOKUP($B67,'Privacy Analyst Evaluation'!$A$46:$F$120,3,0),""))&amp;""</f>
        <v>No</v>
      </c>
      <c r="E67" s="216" t="str">
        <f>IFERROR(VLOOKUP($B67,'Institution Evaluation'!$A$55:$F$346,4,0),IFERROR(VLOOKUP($B67,'Privacy Analyst Evaluation'!$A$46:$F$120,4,0),""))&amp;""</f>
        <v/>
      </c>
      <c r="F67" s="216" t="str">
        <f>IFERROR(VLOOKUP($B67,'Institution Evaluation'!$A$55:$F$346,6,0),IFERROR(VLOOKUP($B67,'Privacy Analyst Evaluation'!$A$46:$F$120,6,0),""))&amp;""</f>
        <v/>
      </c>
      <c r="G67" s="217"/>
      <c r="H67" s="216" t="str">
        <f>IFERROR(IF($H66+1&gt;'(backend scoring)'!$Q$335,"",$H66+1),"")</f>
        <v/>
      </c>
      <c r="I67" s="216" t="str">
        <f>_xlfn.XLOOKUP($H67,'(backend scoring)'!$S$2:$S$333,'(backend scoring)'!$A$2:$A$333,"")</f>
        <v/>
      </c>
      <c r="J67" s="216" t="str">
        <f>IFERROR(VLOOKUP($I67,'Institution Evaluation'!$A$55:$F$346,2,0),IFERROR(VLOOKUP($I67,'Privacy Analyst Evaluation'!$A$46:$F$120,2,0),""))</f>
        <v/>
      </c>
      <c r="K67" s="216" t="str">
        <f>IFERROR(VLOOKUP($I67,'Institution Evaluation'!$A$55:$F$346,3,0),IFERROR(VLOOKUP($I67,'Privacy Analyst Evaluation'!$A$46:$F$120,3,0),""))&amp;""</f>
        <v/>
      </c>
      <c r="L67" s="216" t="str">
        <f>IFERROR(VLOOKUP($I67,'Institution Evaluation'!$A$55:$F$346,4,0),IFERROR(VLOOKUP($I67,'Privacy Analyst Evaluation'!$A$46:$F$120,4,0),""))&amp;""</f>
        <v/>
      </c>
      <c r="M67" s="216" t="str">
        <f>IFERROR(VLOOKUP($I67,'Institution Evaluation'!$A$55:$F$346,6,0),IFERROR(VLOOKUP($I67,'Privacy Analyst Evaluation'!$A$46:$F$120,6,0),""))&amp;""</f>
        <v/>
      </c>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row>
    <row r="68" spans="1:338" ht="180" x14ac:dyDescent="0.3">
      <c r="A68" s="216">
        <f>IFERROR(IF($A67+1&gt;'(backend scoring)'!$T$335,"",$A67+1),"")</f>
        <v>44</v>
      </c>
      <c r="B68" s="216" t="str">
        <f>_xlfn.XLOOKUP($A68,'(backend scoring)'!$V$2:$V$333,'(backend scoring)'!$A$2:$A$333,"")</f>
        <v>DATA-08</v>
      </c>
      <c r="C68" s="216" t="str">
        <f>IFERROR(VLOOKUP($B68,'Institution Evaluation'!$A$55:$F$346,2,0),IFERROR(VLOOKUP($B68,'Privacy Analyst Evaluation'!$A$46:$F$120,2,0),""))&amp;""</f>
        <v>Is media used for long-term retention of business data and archival purposes stored in a secure, environmentally protected area?*</v>
      </c>
      <c r="D68" s="216" t="str">
        <f>IFERROR(VLOOKUP($B68,'Institution Evaluation'!$A$55:$F$346,3,0),IFERROR(VLOOKUP($B68,'Privacy Analyst Evaluation'!$A$46:$F$120,3,0),""))&amp;""</f>
        <v>Yes</v>
      </c>
      <c r="E68" s="216" t="str">
        <f>IFERROR(VLOOKUP($B68,'Institution Evaluation'!$A$55:$F$346,4,0),IFERROR(VLOOKUP($B68,'Privacy Analyst Evaluation'!$A$46:$F$120,4,0),""))&amp;""</f>
        <v>Cirrus Identity uses AWS Glacier for long terms storage of data, and relies on the datacenter controls implemented by AWS for security and environmental protection. See https://aws.amazon.com/compliance/data-center/controls/ for details.</v>
      </c>
      <c r="F68" s="216" t="str">
        <f>IFERROR(VLOOKUP($B68,'Institution Evaluation'!$A$55:$F$346,6,0),IFERROR(VLOOKUP($B68,'Privacy Analyst Evaluation'!$A$46:$F$120,6,0),""))&amp;""</f>
        <v/>
      </c>
      <c r="G68" s="217"/>
      <c r="H68" s="216" t="str">
        <f>IFERROR(IF($H67+1&gt;'(backend scoring)'!$Q$335,"",$H67+1),"")</f>
        <v/>
      </c>
      <c r="I68" s="216" t="str">
        <f>_xlfn.XLOOKUP($H68,'(backend scoring)'!$S$2:$S$333,'(backend scoring)'!$A$2:$A$333,"")</f>
        <v/>
      </c>
      <c r="J68" s="216" t="str">
        <f>IFERROR(VLOOKUP($I68,'Institution Evaluation'!$A$55:$F$346,2,0),IFERROR(VLOOKUP($I68,'Privacy Analyst Evaluation'!$A$46:$F$120,2,0),""))</f>
        <v/>
      </c>
      <c r="K68" s="216" t="str">
        <f>IFERROR(VLOOKUP($I68,'Institution Evaluation'!$A$55:$F$346,3,0),IFERROR(VLOOKUP($I68,'Privacy Analyst Evaluation'!$A$46:$F$120,3,0),""))&amp;""</f>
        <v/>
      </c>
      <c r="L68" s="216" t="str">
        <f>IFERROR(VLOOKUP($I68,'Institution Evaluation'!$A$55:$F$346,4,0),IFERROR(VLOOKUP($I68,'Privacy Analyst Evaluation'!$A$46:$F$120,4,0),""))&amp;""</f>
        <v/>
      </c>
      <c r="M68" s="216" t="str">
        <f>IFERROR(VLOOKUP($I68,'Institution Evaluation'!$A$55:$F$346,6,0),IFERROR(VLOOKUP($I68,'Privacy Analyst Evaluation'!$A$46:$F$120,6,0),""))&amp;""</f>
        <v/>
      </c>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row>
    <row r="69" spans="1:338" ht="75" x14ac:dyDescent="0.3">
      <c r="A69" s="216">
        <f>IFERROR(IF($A68+1&gt;'(backend scoring)'!$T$335,"",$A68+1),"")</f>
        <v>45</v>
      </c>
      <c r="B69" s="216" t="str">
        <f>_xlfn.XLOOKUP($A69,'(backend scoring)'!$V$2:$V$333,'(backend scoring)'!$A$2:$A$333,"")</f>
        <v>DCTR-06</v>
      </c>
      <c r="C69" s="216" t="str">
        <f>IFERROR(VLOOKUP($B69,'Institution Evaluation'!$A$55:$F$346,2,0),IFERROR(VLOOKUP($B69,'Privacy Analyst Evaluation'!$A$46:$F$120,2,0),""))&amp;""</f>
        <v>Does a physical barrier fully enclose the physical space, preventing unauthorized physical contact with any of your devices?*</v>
      </c>
      <c r="D69" s="216" t="str">
        <f>IFERROR(VLOOKUP($B69,'Institution Evaluation'!$A$55:$F$346,3,0),IFERROR(VLOOKUP($B69,'Privacy Analyst Evaluation'!$A$46:$F$120,3,0),""))&amp;""</f>
        <v/>
      </c>
      <c r="E69" s="216" t="str">
        <f>IFERROR(VLOOKUP($B69,'Institution Evaluation'!$A$55:$F$346,4,0),IFERROR(VLOOKUP($B69,'Privacy Analyst Evaluation'!$A$46:$F$120,4,0),""))&amp;""</f>
        <v>AWS - Not Applicable</v>
      </c>
      <c r="F69" s="216" t="str">
        <f>IFERROR(VLOOKUP($B69,'Institution Evaluation'!$A$55:$F$346,6,0),IFERROR(VLOOKUP($B69,'Privacy Analyst Evaluation'!$A$46:$F$120,6,0),""))&amp;""</f>
        <v/>
      </c>
      <c r="G69" s="217"/>
      <c r="H69" s="216" t="str">
        <f>IFERROR(IF($H68+1&gt;'(backend scoring)'!$Q$335,"",$H68+1),"")</f>
        <v/>
      </c>
      <c r="I69" s="216" t="str">
        <f>_xlfn.XLOOKUP($H69,'(backend scoring)'!$S$2:$S$333,'(backend scoring)'!$A$2:$A$333,"")</f>
        <v/>
      </c>
      <c r="J69" s="216" t="str">
        <f>IFERROR(VLOOKUP($I69,'Institution Evaluation'!$A$55:$F$346,2,0),IFERROR(VLOOKUP($I69,'Privacy Analyst Evaluation'!$A$46:$F$120,2,0),""))</f>
        <v/>
      </c>
      <c r="K69" s="216" t="str">
        <f>IFERROR(VLOOKUP($I69,'Institution Evaluation'!$A$55:$F$346,3,0),IFERROR(VLOOKUP($I69,'Privacy Analyst Evaluation'!$A$46:$F$120,3,0),""))&amp;""</f>
        <v/>
      </c>
      <c r="L69" s="216" t="str">
        <f>IFERROR(VLOOKUP($I69,'Institution Evaluation'!$A$55:$F$346,4,0),IFERROR(VLOOKUP($I69,'Privacy Analyst Evaluation'!$A$46:$F$120,4,0),""))&amp;""</f>
        <v/>
      </c>
      <c r="M69" s="216" t="str">
        <f>IFERROR(VLOOKUP($I69,'Institution Evaluation'!$A$55:$F$346,6,0),IFERROR(VLOOKUP($I69,'Privacy Analyst Evaluation'!$A$46:$F$120,6,0),""))&amp;""</f>
        <v/>
      </c>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row>
    <row r="70" spans="1:338" ht="30" x14ac:dyDescent="0.3">
      <c r="A70" s="216">
        <f>IFERROR(IF($A69+1&gt;'(backend scoring)'!$T$335,"",$A69+1),"")</f>
        <v>46</v>
      </c>
      <c r="B70" s="216" t="str">
        <f>_xlfn.XLOOKUP($A70,'(backend scoring)'!$V$2:$V$333,'(backend scoring)'!$A$2:$A$333,"")</f>
        <v>DCTR-10</v>
      </c>
      <c r="C70" s="216" t="str">
        <f>IFERROR(VLOOKUP($B70,'Institution Evaluation'!$A$55:$F$346,2,0),IFERROR(VLOOKUP($B70,'Privacy Analyst Evaluation'!$A$46:$F$120,2,0),""))&amp;""</f>
        <v>Are redundant power strategies tested?*</v>
      </c>
      <c r="D70" s="216" t="str">
        <f>IFERROR(VLOOKUP($B70,'Institution Evaluation'!$A$55:$F$346,3,0),IFERROR(VLOOKUP($B70,'Privacy Analyst Evaluation'!$A$46:$F$120,3,0),""))&amp;""</f>
        <v/>
      </c>
      <c r="E70" s="216" t="str">
        <f>IFERROR(VLOOKUP($B70,'Institution Evaluation'!$A$55:$F$346,4,0),IFERROR(VLOOKUP($B70,'Privacy Analyst Evaluation'!$A$46:$F$120,4,0),""))&amp;""</f>
        <v>AWS - Not Applicable</v>
      </c>
      <c r="F70" s="216" t="str">
        <f>IFERROR(VLOOKUP($B70,'Institution Evaluation'!$A$55:$F$346,6,0),IFERROR(VLOOKUP($B70,'Privacy Analyst Evaluation'!$A$46:$F$120,6,0),""))&amp;""</f>
        <v/>
      </c>
      <c r="G70" s="217"/>
      <c r="H70" s="216" t="str">
        <f>IFERROR(IF($H69+1&gt;'(backend scoring)'!$Q$335,"",$H69+1),"")</f>
        <v/>
      </c>
      <c r="I70" s="216" t="str">
        <f>_xlfn.XLOOKUP($H70,'(backend scoring)'!$S$2:$S$333,'(backend scoring)'!$A$2:$A$333,"")</f>
        <v/>
      </c>
      <c r="J70" s="216" t="str">
        <f>IFERROR(VLOOKUP($I70,'Institution Evaluation'!$A$55:$F$346,2,0),IFERROR(VLOOKUP($I70,'Privacy Analyst Evaluation'!$A$46:$F$120,2,0),""))</f>
        <v/>
      </c>
      <c r="K70" s="216" t="str">
        <f>IFERROR(VLOOKUP($I70,'Institution Evaluation'!$A$55:$F$346,3,0),IFERROR(VLOOKUP($I70,'Privacy Analyst Evaluation'!$A$46:$F$120,3,0),""))&amp;""</f>
        <v/>
      </c>
      <c r="L70" s="216" t="str">
        <f>IFERROR(VLOOKUP($I70,'Institution Evaluation'!$A$55:$F$346,4,0),IFERROR(VLOOKUP($I70,'Privacy Analyst Evaluation'!$A$46:$F$120,4,0),""))&amp;""</f>
        <v/>
      </c>
      <c r="M70" s="216" t="str">
        <f>IFERROR(VLOOKUP($I70,'Institution Evaluation'!$A$55:$F$346,6,0),IFERROR(VLOOKUP($I70,'Privacy Analyst Evaluation'!$A$46:$F$120,6,0),""))&amp;""</f>
        <v/>
      </c>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row>
    <row r="71" spans="1:338" ht="105" x14ac:dyDescent="0.3">
      <c r="A71" s="216">
        <f>IFERROR(IF($A70+1&gt;'(backend scoring)'!$T$335,"",$A70+1),"")</f>
        <v>47</v>
      </c>
      <c r="B71" s="216" t="str">
        <f>_xlfn.XLOOKUP($A71,'(backend scoring)'!$V$2:$V$333,'(backend scoring)'!$A$2:$A$333,"")</f>
        <v>FIDP-01</v>
      </c>
      <c r="C71" s="216" t="str">
        <f>IFERROR(VLOOKUP($B71,'Institution Evaluation'!$A$55:$F$346,2,0),IFERROR(VLOOKUP($B71,'Privacy Analyst Evaluation'!$A$46:$F$120,2,0),""))&amp;""</f>
        <v>Are you utilizing a stateful packet inspection (SPI) firewall?*</v>
      </c>
      <c r="D71" s="216" t="str">
        <f>IFERROR(VLOOKUP($B71,'Institution Evaluation'!$A$55:$F$346,3,0),IFERROR(VLOOKUP($B71,'Privacy Analyst Evaluation'!$A$46:$F$120,3,0),""))&amp;""</f>
        <v>Yes</v>
      </c>
      <c r="E71" s="216" t="str">
        <f>IFERROR(VLOOKUP($B71,'Institution Evaluation'!$A$55:$F$346,4,0),IFERROR(VLOOKUP($B71,'Privacy Analyst Evaluation'!$A$46:$F$120,4,0),""))&amp;""</f>
        <v xml:space="preserve">Access to Cirrus Identity internal systems is protected using AWS Virtual Private Cloud (VPC) access controls including the use of AWS Security Groups. </v>
      </c>
      <c r="F71" s="216" t="str">
        <f>IFERROR(VLOOKUP($B71,'Institution Evaluation'!$A$55:$F$346,6,0),IFERROR(VLOOKUP($B71,'Privacy Analyst Evaluation'!$A$46:$F$120,6,0),""))&amp;""</f>
        <v/>
      </c>
      <c r="G71" s="217"/>
      <c r="H71" s="216" t="str">
        <f>IFERROR(IF($H70+1&gt;'(backend scoring)'!$Q$335,"",$H70+1),"")</f>
        <v/>
      </c>
      <c r="I71" s="216" t="str">
        <f>_xlfn.XLOOKUP($H71,'(backend scoring)'!$S$2:$S$333,'(backend scoring)'!$A$2:$A$333,"")</f>
        <v/>
      </c>
      <c r="J71" s="216" t="str">
        <f>IFERROR(VLOOKUP($I71,'Institution Evaluation'!$A$55:$F$346,2,0),IFERROR(VLOOKUP($I71,'Privacy Analyst Evaluation'!$A$46:$F$120,2,0),""))</f>
        <v/>
      </c>
      <c r="K71" s="216" t="str">
        <f>IFERROR(VLOOKUP($I71,'Institution Evaluation'!$A$55:$F$346,3,0),IFERROR(VLOOKUP($I71,'Privacy Analyst Evaluation'!$A$46:$F$120,3,0),""))&amp;""</f>
        <v/>
      </c>
      <c r="L71" s="216" t="str">
        <f>IFERROR(VLOOKUP($I71,'Institution Evaluation'!$A$55:$F$346,4,0),IFERROR(VLOOKUP($I71,'Privacy Analyst Evaluation'!$A$46:$F$120,4,0),""))&amp;""</f>
        <v/>
      </c>
      <c r="M71" s="216" t="str">
        <f>IFERROR(VLOOKUP($I71,'Institution Evaluation'!$A$55:$F$346,6,0),IFERROR(VLOOKUP($I71,'Privacy Analyst Evaluation'!$A$46:$F$120,6,0),""))&amp;""</f>
        <v/>
      </c>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row>
    <row r="72" spans="1:338" ht="120" x14ac:dyDescent="0.3">
      <c r="A72" s="216">
        <f>IFERROR(IF($A71+1&gt;'(backend scoring)'!$T$335,"",$A71+1),"")</f>
        <v>48</v>
      </c>
      <c r="B72" s="216" t="str">
        <f>_xlfn.XLOOKUP($A72,'(backend scoring)'!$V$2:$V$333,'(backend scoring)'!$A$2:$A$333,"")</f>
        <v>FIDP-02</v>
      </c>
      <c r="C72" s="216" t="str">
        <f>IFERROR(VLOOKUP($B72,'Institution Evaluation'!$A$55:$F$346,2,0),IFERROR(VLOOKUP($B72,'Privacy Analyst Evaluation'!$A$46:$F$120,2,0),""))&amp;""</f>
        <v>Do you have a documented policy for firewall change requests?*</v>
      </c>
      <c r="D72" s="216" t="str">
        <f>IFERROR(VLOOKUP($B72,'Institution Evaluation'!$A$55:$F$346,3,0),IFERROR(VLOOKUP($B72,'Privacy Analyst Evaluation'!$A$46:$F$120,3,0),""))&amp;""</f>
        <v>Yes</v>
      </c>
      <c r="E72" s="216" t="str">
        <f>IFERROR(VLOOKUP($B72,'Institution Evaluation'!$A$55:$F$346,4,0),IFERROR(VLOOKUP($B72,'Privacy Analyst Evaluation'!$A$46:$F$120,4,0),""))&amp;""</f>
        <v>Firewall changes would be handled according to Cirrus Identity Change Management Policy and Procedure. Generally changes for network would be approved by CTO.</v>
      </c>
      <c r="F72" s="216" t="str">
        <f>IFERROR(VLOOKUP($B72,'Institution Evaluation'!$A$55:$F$346,6,0),IFERROR(VLOOKUP($B72,'Privacy Analyst Evaluation'!$A$46:$F$120,6,0),""))&amp;""</f>
        <v/>
      </c>
      <c r="G72" s="217"/>
      <c r="H72" s="216" t="str">
        <f>IFERROR(IF($H71+1&gt;'(backend scoring)'!$Q$335,"",$H71+1),"")</f>
        <v/>
      </c>
      <c r="I72" s="216" t="str">
        <f>_xlfn.XLOOKUP($H72,'(backend scoring)'!$S$2:$S$333,'(backend scoring)'!$A$2:$A$333,"")</f>
        <v/>
      </c>
      <c r="J72" s="216" t="str">
        <f>IFERROR(VLOOKUP($I72,'Institution Evaluation'!$A$55:$F$346,2,0),IFERROR(VLOOKUP($I72,'Privacy Analyst Evaluation'!$A$46:$F$120,2,0),""))</f>
        <v/>
      </c>
      <c r="K72" s="216" t="str">
        <f>IFERROR(VLOOKUP($I72,'Institution Evaluation'!$A$55:$F$346,3,0),IFERROR(VLOOKUP($I72,'Privacy Analyst Evaluation'!$A$46:$F$120,3,0),""))&amp;""</f>
        <v/>
      </c>
      <c r="L72" s="216" t="str">
        <f>IFERROR(VLOOKUP($I72,'Institution Evaluation'!$A$55:$F$346,4,0),IFERROR(VLOOKUP($I72,'Privacy Analyst Evaluation'!$A$46:$F$120,4,0),""))&amp;""</f>
        <v/>
      </c>
      <c r="M72" s="216" t="str">
        <f>IFERROR(VLOOKUP($I72,'Institution Evaluation'!$A$55:$F$346,6,0),IFERROR(VLOOKUP($I72,'Privacy Analyst Evaluation'!$A$46:$F$120,6,0),""))&amp;""</f>
        <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row>
    <row r="73" spans="1:338" ht="120" x14ac:dyDescent="0.3">
      <c r="A73" s="216">
        <f>IFERROR(IF($A72+1&gt;'(backend scoring)'!$T$335,"",$A72+1),"")</f>
        <v>49</v>
      </c>
      <c r="B73" s="216" t="str">
        <f>_xlfn.XLOOKUP($A73,'(backend scoring)'!$V$2:$V$333,'(backend scoring)'!$A$2:$A$333,"")</f>
        <v>FIDP-03</v>
      </c>
      <c r="C73" s="216" t="str">
        <f>IFERROR(VLOOKUP($B73,'Institution Evaluation'!$A$55:$F$346,2,0),IFERROR(VLOOKUP($B73,'Privacy Analyst Evaluation'!$A$46:$F$120,2,0),""))&amp;""</f>
        <v>Have you implemented an intrusion detection system (network-based)?*</v>
      </c>
      <c r="D73" s="216" t="str">
        <f>IFERROR(VLOOKUP($B73,'Institution Evaluation'!$A$55:$F$346,3,0),IFERROR(VLOOKUP($B73,'Privacy Analyst Evaluation'!$A$46:$F$120,3,0),""))&amp;""</f>
        <v>Yes</v>
      </c>
      <c r="E73" s="216" t="str">
        <f>IFERROR(VLOOKUP($B73,'Institution Evaluation'!$A$55:$F$346,4,0),IFERROR(VLOOKUP($B73,'Privacy Analyst Evaluation'!$A$46:$F$120,4,0),""))&amp;""</f>
        <v xml:space="preserve">A threat detection service (AWS GuardDuty) is used to continuously monitor the Cirrus Identity Virtual Private Cloud (VPC) for malicious or unauthorized behavior.  </v>
      </c>
      <c r="F73" s="216" t="str">
        <f>IFERROR(VLOOKUP($B73,'Institution Evaluation'!$A$55:$F$346,6,0),IFERROR(VLOOKUP($B73,'Privacy Analyst Evaluation'!$A$46:$F$120,6,0),""))&amp;""</f>
        <v/>
      </c>
      <c r="G73" s="217"/>
      <c r="H73" s="216" t="str">
        <f>IFERROR(IF($H72+1&gt;'(backend scoring)'!$Q$335,"",$H72+1),"")</f>
        <v/>
      </c>
      <c r="I73" s="216" t="str">
        <f>_xlfn.XLOOKUP($H73,'(backend scoring)'!$S$2:$S$333,'(backend scoring)'!$A$2:$A$333,"")</f>
        <v/>
      </c>
      <c r="J73" s="216" t="str">
        <f>IFERROR(VLOOKUP($I73,'Institution Evaluation'!$A$55:$F$346,2,0),IFERROR(VLOOKUP($I73,'Privacy Analyst Evaluation'!$A$46:$F$120,2,0),""))</f>
        <v/>
      </c>
      <c r="K73" s="216" t="str">
        <f>IFERROR(VLOOKUP($I73,'Institution Evaluation'!$A$55:$F$346,3,0),IFERROR(VLOOKUP($I73,'Privacy Analyst Evaluation'!$A$46:$F$120,3,0),""))&amp;""</f>
        <v/>
      </c>
      <c r="L73" s="216" t="str">
        <f>IFERROR(VLOOKUP($I73,'Institution Evaluation'!$A$55:$F$346,4,0),IFERROR(VLOOKUP($I73,'Privacy Analyst Evaluation'!$A$46:$F$120,4,0),""))&amp;""</f>
        <v/>
      </c>
      <c r="M73" s="216" t="str">
        <f>IFERROR(VLOOKUP($I73,'Institution Evaluation'!$A$55:$F$346,6,0),IFERROR(VLOOKUP($I73,'Privacy Analyst Evaluation'!$A$46:$F$120,6,0),""))&amp;""</f>
        <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row>
    <row r="74" spans="1:338" ht="75" x14ac:dyDescent="0.3">
      <c r="A74" s="216">
        <f>IFERROR(IF($A73+1&gt;'(backend scoring)'!$T$335,"",$A73+1),"")</f>
        <v>50</v>
      </c>
      <c r="B74" s="216" t="str">
        <f>_xlfn.XLOOKUP($A74,'(backend scoring)'!$V$2:$V$333,'(backend scoring)'!$A$2:$A$333,"")</f>
        <v>FIDP-04</v>
      </c>
      <c r="C74" s="216" t="str">
        <f>IFERROR(VLOOKUP($B74,'Institution Evaluation'!$A$55:$F$346,2,0),IFERROR(VLOOKUP($B74,'Privacy Analyst Evaluation'!$A$46:$F$120,2,0),""))&amp;""</f>
        <v>Do you employ host-based intrusion detection?*</v>
      </c>
      <c r="D74" s="216" t="str">
        <f>IFERROR(VLOOKUP($B74,'Institution Evaluation'!$A$55:$F$346,3,0),IFERROR(VLOOKUP($B74,'Privacy Analyst Evaluation'!$A$46:$F$120,3,0),""))&amp;""</f>
        <v>Yes</v>
      </c>
      <c r="E74" s="216" t="str">
        <f>IFERROR(VLOOKUP($B74,'Institution Evaluation'!$A$55:$F$346,4,0),IFERROR(VLOOKUP($B74,'Privacy Analyst Evaluation'!$A$46:$F$120,4,0),""))&amp;""</f>
        <v xml:space="preserve">Host-based intrusion detection is configured for virtual servers to monitor for anomalous behavior. </v>
      </c>
      <c r="F74" s="216" t="str">
        <f>IFERROR(VLOOKUP($B74,'Institution Evaluation'!$A$55:$F$346,6,0),IFERROR(VLOOKUP($B74,'Privacy Analyst Evaluation'!$A$46:$F$120,6,0),""))&amp;""</f>
        <v/>
      </c>
      <c r="G74" s="217"/>
      <c r="H74" s="216" t="str">
        <f>IFERROR(IF($H73+1&gt;'(backend scoring)'!$Q$335,"",$H73+1),"")</f>
        <v/>
      </c>
      <c r="I74" s="216" t="str">
        <f>_xlfn.XLOOKUP($H74,'(backend scoring)'!$S$2:$S$333,'(backend scoring)'!$A$2:$A$333,"")</f>
        <v/>
      </c>
      <c r="J74" s="216" t="str">
        <f>IFERROR(VLOOKUP($I74,'Institution Evaluation'!$A$55:$F$346,2,0),IFERROR(VLOOKUP($I74,'Privacy Analyst Evaluation'!$A$46:$F$120,2,0),""))</f>
        <v/>
      </c>
      <c r="K74" s="216" t="str">
        <f>IFERROR(VLOOKUP($I74,'Institution Evaluation'!$A$55:$F$346,3,0),IFERROR(VLOOKUP($I74,'Privacy Analyst Evaluation'!$A$46:$F$120,3,0),""))&amp;""</f>
        <v/>
      </c>
      <c r="L74" s="216" t="str">
        <f>IFERROR(VLOOKUP($I74,'Institution Evaluation'!$A$55:$F$346,4,0),IFERROR(VLOOKUP($I74,'Privacy Analyst Evaluation'!$A$46:$F$120,4,0),""))&amp;""</f>
        <v/>
      </c>
      <c r="M74" s="216" t="str">
        <f>IFERROR(VLOOKUP($I74,'Institution Evaluation'!$A$55:$F$346,6,0),IFERROR(VLOOKUP($I74,'Privacy Analyst Evaluation'!$A$46:$F$120,6,0),""))&amp;""</f>
        <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row>
    <row r="75" spans="1:338" ht="75" x14ac:dyDescent="0.3">
      <c r="A75" s="216">
        <f>IFERROR(IF($A74+1&gt;'(backend scoring)'!$T$335,"",$A74+1),"")</f>
        <v>51</v>
      </c>
      <c r="B75" s="216" t="str">
        <f>_xlfn.XLOOKUP($A75,'(backend scoring)'!$V$2:$V$333,'(backend scoring)'!$A$2:$A$333,"")</f>
        <v>FIDP-05</v>
      </c>
      <c r="C75" s="216" t="str">
        <f>IFERROR(VLOOKUP($B75,'Institution Evaluation'!$A$55:$F$346,2,0),IFERROR(VLOOKUP($B75,'Privacy Analyst Evaluation'!$A$46:$F$120,2,0),""))&amp;""</f>
        <v>Are audit logs available for all changes to the network, firewall, IDS, and IPS systems?*</v>
      </c>
      <c r="D75" s="216" t="str">
        <f>IFERROR(VLOOKUP($B75,'Institution Evaluation'!$A$55:$F$346,3,0),IFERROR(VLOOKUP($B75,'Privacy Analyst Evaluation'!$A$46:$F$120,3,0),""))&amp;""</f>
        <v>Yes</v>
      </c>
      <c r="E75" s="216" t="str">
        <f>IFERROR(VLOOKUP($B75,'Institution Evaluation'!$A$55:$F$346,4,0),IFERROR(VLOOKUP($B75,'Privacy Analyst Evaluation'!$A$46:$F$120,4,0),""))&amp;""</f>
        <v>Cirrus Identity has enabled AWSCloudTrail and AWSConfig with logging in our environment.</v>
      </c>
      <c r="F75" s="216" t="str">
        <f>IFERROR(VLOOKUP($B75,'Institution Evaluation'!$A$55:$F$346,6,0),IFERROR(VLOOKUP($B75,'Privacy Analyst Evaluation'!$A$46:$F$120,6,0),""))&amp;""</f>
        <v/>
      </c>
      <c r="G75" s="217"/>
      <c r="H75" s="216" t="str">
        <f>IFERROR(IF($H74+1&gt;'(backend scoring)'!$Q$335,"",$H74+1),"")</f>
        <v/>
      </c>
      <c r="I75" s="216" t="str">
        <f>_xlfn.XLOOKUP($H75,'(backend scoring)'!$S$2:$S$333,'(backend scoring)'!$A$2:$A$333,"")</f>
        <v/>
      </c>
      <c r="J75" s="216" t="str">
        <f>IFERROR(VLOOKUP($I75,'Institution Evaluation'!$A$55:$F$346,2,0),IFERROR(VLOOKUP($I75,'Privacy Analyst Evaluation'!$A$46:$F$120,2,0),""))</f>
        <v/>
      </c>
      <c r="K75" s="216" t="str">
        <f>IFERROR(VLOOKUP($I75,'Institution Evaluation'!$A$55:$F$346,3,0),IFERROR(VLOOKUP($I75,'Privacy Analyst Evaluation'!$A$46:$F$120,3,0),""))&amp;""</f>
        <v/>
      </c>
      <c r="L75" s="216" t="str">
        <f>IFERROR(VLOOKUP($I75,'Institution Evaluation'!$A$55:$F$346,4,0),IFERROR(VLOOKUP($I75,'Privacy Analyst Evaluation'!$A$46:$F$120,4,0),""))&amp;""</f>
        <v/>
      </c>
      <c r="M75" s="216" t="str">
        <f>IFERROR(VLOOKUP($I75,'Institution Evaluation'!$A$55:$F$346,6,0),IFERROR(VLOOKUP($I75,'Privacy Analyst Evaluation'!$A$46:$F$120,6,0),""))&amp;""</f>
        <v/>
      </c>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row>
    <row r="76" spans="1:338" ht="30" x14ac:dyDescent="0.3">
      <c r="A76" s="216">
        <f>IFERROR(IF($A75+1&gt;'(backend scoring)'!$T$335,"",$A75+1),"")</f>
        <v>52</v>
      </c>
      <c r="B76" s="216" t="str">
        <f>_xlfn.XLOOKUP($A76,'(backend scoring)'!$V$2:$V$333,'(backend scoring)'!$A$2:$A$333,"")</f>
        <v>PPPR-01</v>
      </c>
      <c r="C76" s="216" t="str">
        <f>IFERROR(VLOOKUP($B76,'Institution Evaluation'!$A$55:$F$346,2,0),IFERROR(VLOOKUP($B76,'Privacy Analyst Evaluation'!$A$46:$F$120,2,0),""))&amp;""</f>
        <v>Do you have a documented patch management process?*</v>
      </c>
      <c r="D76" s="216" t="str">
        <f>IFERROR(VLOOKUP($B76,'Institution Evaluation'!$A$55:$F$346,3,0),IFERROR(VLOOKUP($B76,'Privacy Analyst Evaluation'!$A$46:$F$120,3,0),""))&amp;""</f>
        <v>Yes</v>
      </c>
      <c r="E76" s="216" t="str">
        <f>IFERROR(VLOOKUP($B76,'Institution Evaluation'!$A$55:$F$346,4,0),IFERROR(VLOOKUP($B76,'Privacy Analyst Evaluation'!$A$46:$F$120,4,0),""))&amp;""</f>
        <v/>
      </c>
      <c r="F76" s="216" t="str">
        <f>IFERROR(VLOOKUP($B76,'Institution Evaluation'!$A$55:$F$346,6,0),IFERROR(VLOOKUP($B76,'Privacy Analyst Evaluation'!$A$46:$F$120,6,0),""))&amp;""</f>
        <v/>
      </c>
      <c r="G76" s="217"/>
      <c r="H76" s="216" t="str">
        <f>IFERROR(IF($H75+1&gt;'(backend scoring)'!$Q$335,"",$H75+1),"")</f>
        <v/>
      </c>
      <c r="I76" s="216" t="str">
        <f>_xlfn.XLOOKUP($H76,'(backend scoring)'!$S$2:$S$333,'(backend scoring)'!$A$2:$A$333,"")</f>
        <v/>
      </c>
      <c r="J76" s="216" t="str">
        <f>IFERROR(VLOOKUP($I76,'Institution Evaluation'!$A$55:$F$346,2,0),IFERROR(VLOOKUP($I76,'Privacy Analyst Evaluation'!$A$46:$F$120,2,0),""))</f>
        <v/>
      </c>
      <c r="K76" s="216" t="str">
        <f>IFERROR(VLOOKUP($I76,'Institution Evaluation'!$A$55:$F$346,3,0),IFERROR(VLOOKUP($I76,'Privacy Analyst Evaluation'!$A$46:$F$120,3,0),""))&amp;""</f>
        <v/>
      </c>
      <c r="L76" s="216" t="str">
        <f>IFERROR(VLOOKUP($I76,'Institution Evaluation'!$A$55:$F$346,4,0),IFERROR(VLOOKUP($I76,'Privacy Analyst Evaluation'!$A$46:$F$120,4,0),""))&amp;""</f>
        <v/>
      </c>
      <c r="M76" s="216" t="str">
        <f>IFERROR(VLOOKUP($I76,'Institution Evaluation'!$A$55:$F$346,6,0),IFERROR(VLOOKUP($I76,'Privacy Analyst Evaluation'!$A$46:$F$120,6,0),""))&amp;""</f>
        <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row>
    <row r="77" spans="1:338" ht="150" x14ac:dyDescent="0.3">
      <c r="A77" s="216">
        <f>IFERROR(IF($A76+1&gt;'(backend scoring)'!$T$335,"",$A76+1),"")</f>
        <v>53</v>
      </c>
      <c r="B77" s="216" t="str">
        <f>_xlfn.XLOOKUP($A77,'(backend scoring)'!$V$2:$V$333,'(backend scoring)'!$A$2:$A$333,"")</f>
        <v>PPPR-02</v>
      </c>
      <c r="C77" s="216" t="str">
        <f>IFERROR(VLOOKUP($B77,'Institution Evaluation'!$A$55:$F$346,2,0),IFERROR(VLOOKUP($B77,'Privacy Analyst Evaluation'!$A$46:$F$120,2,0),""))&amp;""</f>
        <v>Can your organization comply with institutional policies on privacy and data protection with regard to users of institutional systems, if required?*</v>
      </c>
      <c r="D77" s="216" t="str">
        <f>IFERROR(VLOOKUP($B77,'Institution Evaluation'!$A$55:$F$346,3,0),IFERROR(VLOOKUP($B77,'Privacy Analyst Evaluation'!$A$46:$F$120,3,0),""))&amp;""</f>
        <v>Yes</v>
      </c>
      <c r="E77" s="216" t="str">
        <f>IFERROR(VLOOKUP($B77,'Institution Evaluation'!$A$55:$F$346,4,0),IFERROR(VLOOKUP($B77,'Privacy Analyst Evaluation'!$A$46:$F$120,4,0),""))&amp;""</f>
        <v xml:space="preserve">Any compliance requirements for institutional privacy and data protection policies must be captured by the contract process and reflected in the master terms governing the subscription for Cirrus Identity services. </v>
      </c>
      <c r="F77" s="216" t="str">
        <f>IFERROR(VLOOKUP($B77,'Institution Evaluation'!$A$55:$F$346,6,0),IFERROR(VLOOKUP($B77,'Privacy Analyst Evaluation'!$A$46:$F$120,6,0),""))&amp;""</f>
        <v/>
      </c>
      <c r="G77" s="217"/>
      <c r="H77" s="216" t="str">
        <f>IFERROR(IF($H76+1&gt;'(backend scoring)'!$Q$335,"",$H76+1),"")</f>
        <v/>
      </c>
      <c r="I77" s="216" t="str">
        <f>_xlfn.XLOOKUP($H77,'(backend scoring)'!$S$2:$S$333,'(backend scoring)'!$A$2:$A$333,"")</f>
        <v/>
      </c>
      <c r="J77" s="216" t="str">
        <f>IFERROR(VLOOKUP($I77,'Institution Evaluation'!$A$55:$F$346,2,0),IFERROR(VLOOKUP($I77,'Privacy Analyst Evaluation'!$A$46:$F$120,2,0),""))</f>
        <v/>
      </c>
      <c r="K77" s="216" t="str">
        <f>IFERROR(VLOOKUP($I77,'Institution Evaluation'!$A$55:$F$346,3,0),IFERROR(VLOOKUP($I77,'Privacy Analyst Evaluation'!$A$46:$F$120,3,0),""))&amp;""</f>
        <v/>
      </c>
      <c r="L77" s="216" t="str">
        <f>IFERROR(VLOOKUP($I77,'Institution Evaluation'!$A$55:$F$346,4,0),IFERROR(VLOOKUP($I77,'Privacy Analyst Evaluation'!$A$46:$F$120,4,0),""))&amp;""</f>
        <v/>
      </c>
      <c r="M77" s="216" t="str">
        <f>IFERROR(VLOOKUP($I77,'Institution Evaluation'!$A$55:$F$346,6,0),IFERROR(VLOOKUP($I77,'Privacy Analyst Evaluation'!$A$46:$F$120,6,0),""))&amp;""</f>
        <v/>
      </c>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row>
    <row r="78" spans="1:338" ht="45" x14ac:dyDescent="0.3">
      <c r="A78" s="216">
        <f>IFERROR(IF($A77+1&gt;'(backend scoring)'!$T$335,"",$A77+1),"")</f>
        <v>54</v>
      </c>
      <c r="B78" s="216" t="str">
        <f>_xlfn.XLOOKUP($A78,'(backend scoring)'!$V$2:$V$333,'(backend scoring)'!$A$2:$A$333,"")</f>
        <v>PPPR-03</v>
      </c>
      <c r="C78" s="216" t="str">
        <f>IFERROR(VLOOKUP($B78,'Institution Evaluation'!$A$55:$F$346,2,0),IFERROR(VLOOKUP($B78,'Privacy Analyst Evaluation'!$A$46:$F$120,2,0),""))&amp;""</f>
        <v>Is your company subject to the institution's geographic region's laws and regulations?*</v>
      </c>
      <c r="D78" s="216" t="str">
        <f>IFERROR(VLOOKUP($B78,'Institution Evaluation'!$A$55:$F$346,3,0),IFERROR(VLOOKUP($B78,'Privacy Analyst Evaluation'!$A$46:$F$120,3,0),""))&amp;""</f>
        <v>Yes</v>
      </c>
      <c r="E78" s="216" t="str">
        <f>IFERROR(VLOOKUP($B78,'Institution Evaluation'!$A$55:$F$346,4,0),IFERROR(VLOOKUP($B78,'Privacy Analyst Evaluation'!$A$46:$F$120,4,0),""))&amp;""</f>
        <v/>
      </c>
      <c r="F78" s="216" t="str">
        <f>IFERROR(VLOOKUP($B78,'Institution Evaluation'!$A$55:$F$346,6,0),IFERROR(VLOOKUP($B78,'Privacy Analyst Evaluation'!$A$46:$F$120,6,0),""))&amp;""</f>
        <v/>
      </c>
      <c r="G78" s="217"/>
      <c r="H78" s="216" t="str">
        <f>IFERROR(IF($H77+1&gt;'(backend scoring)'!$Q$335,"",$H77+1),"")</f>
        <v/>
      </c>
      <c r="I78" s="216" t="str">
        <f>_xlfn.XLOOKUP($H78,'(backend scoring)'!$S$2:$S$333,'(backend scoring)'!$A$2:$A$333,"")</f>
        <v/>
      </c>
      <c r="J78" s="216" t="str">
        <f>IFERROR(VLOOKUP($I78,'Institution Evaluation'!$A$55:$F$346,2,0),IFERROR(VLOOKUP($I78,'Privacy Analyst Evaluation'!$A$46:$F$120,2,0),""))</f>
        <v/>
      </c>
      <c r="K78" s="216" t="str">
        <f>IFERROR(VLOOKUP($I78,'Institution Evaluation'!$A$55:$F$346,3,0),IFERROR(VLOOKUP($I78,'Privacy Analyst Evaluation'!$A$46:$F$120,3,0),""))&amp;""</f>
        <v/>
      </c>
      <c r="L78" s="216" t="str">
        <f>IFERROR(VLOOKUP($I78,'Institution Evaluation'!$A$55:$F$346,4,0),IFERROR(VLOOKUP($I78,'Privacy Analyst Evaluation'!$A$46:$F$120,4,0),""))&amp;""</f>
        <v/>
      </c>
      <c r="M78" s="216" t="str">
        <f>IFERROR(VLOOKUP($I78,'Institution Evaluation'!$A$55:$F$346,6,0),IFERROR(VLOOKUP($I78,'Privacy Analyst Evaluation'!$A$46:$F$120,6,0),""))&amp;""</f>
        <v/>
      </c>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row>
    <row r="79" spans="1:338" ht="300" x14ac:dyDescent="0.3">
      <c r="A79" s="216">
        <f>IFERROR(IF($A78+1&gt;'(backend scoring)'!$T$335,"",$A78+1),"")</f>
        <v>55</v>
      </c>
      <c r="B79" s="216" t="str">
        <f>_xlfn.XLOOKUP($A79,'(backend scoring)'!$V$2:$V$333,'(backend scoring)'!$A$2:$A$333,"")</f>
        <v>VULN-01</v>
      </c>
      <c r="C79" s="216" t="str">
        <f>IFERROR(VLOOKUP($B79,'Institution Evaluation'!$A$55:$F$346,2,0),IFERROR(VLOOKUP($B79,'Privacy Analyst Evaluation'!$A$46:$F$120,2,0),""))&amp;""</f>
        <v>Are your systems and applications scanned with an authenticated user account for vulnerabilities (that are remediated) prior to new releases?*</v>
      </c>
      <c r="D79" s="216" t="str">
        <f>IFERROR(VLOOKUP($B79,'Institution Evaluation'!$A$55:$F$346,3,0),IFERROR(VLOOKUP($B79,'Privacy Analyst Evaluation'!$A$46:$F$120,3,0),""))&amp;""</f>
        <v>No</v>
      </c>
      <c r="E79" s="216" t="str">
        <f>IFERROR(VLOOKUP($B79,'Institution Evaluation'!$A$55:$F$346,4,0),IFERROR(VLOOKUP($B79,'Privacy Analyst Evaluation'!$A$46:$F$120,4,0),""))&amp;""</f>
        <v>As part of the Cirrus Identity Change Management process, a number of automated tests validate correct baseline operation when used by an authenticated end-user. Static code/application tests are applied to product code prior to release (see APPL-06 for details), application level content security policies are configured, and the AWS Web Application Firewall augment this automated testing to provide commercially reasonable compensating controls.</v>
      </c>
      <c r="F79" s="216" t="str">
        <f>IFERROR(VLOOKUP($B79,'Institution Evaluation'!$A$55:$F$346,6,0),IFERROR(VLOOKUP($B79,'Privacy Analyst Evaluation'!$A$46:$F$120,6,0),""))&amp;""</f>
        <v/>
      </c>
      <c r="G79" s="217"/>
      <c r="H79" s="216" t="str">
        <f>IFERROR(IF($H78+1&gt;'(backend scoring)'!$Q$335,"",$H78+1),"")</f>
        <v/>
      </c>
      <c r="I79" s="216" t="str">
        <f>_xlfn.XLOOKUP($H79,'(backend scoring)'!$S$2:$S$333,'(backend scoring)'!$A$2:$A$333,"")</f>
        <v/>
      </c>
      <c r="J79" s="216" t="str">
        <f>IFERROR(VLOOKUP($I79,'Institution Evaluation'!$A$55:$F$346,2,0),IFERROR(VLOOKUP($I79,'Privacy Analyst Evaluation'!$A$46:$F$120,2,0),""))</f>
        <v/>
      </c>
      <c r="K79" s="216" t="str">
        <f>IFERROR(VLOOKUP($I79,'Institution Evaluation'!$A$55:$F$346,3,0),IFERROR(VLOOKUP($I79,'Privacy Analyst Evaluation'!$A$46:$F$120,3,0),""))&amp;""</f>
        <v/>
      </c>
      <c r="L79" s="216" t="str">
        <f>IFERROR(VLOOKUP($I79,'Institution Evaluation'!$A$55:$F$346,4,0),IFERROR(VLOOKUP($I79,'Privacy Analyst Evaluation'!$A$46:$F$120,4,0),""))&amp;""</f>
        <v/>
      </c>
      <c r="M79" s="216" t="str">
        <f>IFERROR(VLOOKUP($I79,'Institution Evaluation'!$A$55:$F$346,6,0),IFERROR(VLOOKUP($I79,'Privacy Analyst Evaluation'!$A$46:$F$120,6,0),""))&amp;""</f>
        <v/>
      </c>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row>
    <row r="80" spans="1:338" ht="135" x14ac:dyDescent="0.3">
      <c r="A80" s="216">
        <f>IFERROR(IF($A79+1&gt;'(backend scoring)'!$T$335,"",$A79+1),"")</f>
        <v>56</v>
      </c>
      <c r="B80" s="216" t="str">
        <f>_xlfn.XLOOKUP($A80,'(backend scoring)'!$V$2:$V$333,'(backend scoring)'!$A$2:$A$333,"")</f>
        <v>VULN-02</v>
      </c>
      <c r="C80" s="216" t="str">
        <f>IFERROR(VLOOKUP($B80,'Institution Evaluation'!$A$55:$F$346,2,0),IFERROR(VLOOKUP($B80,'Privacy Analyst Evaluation'!$A$46:$F$120,2,0),""))&amp;""</f>
        <v>Will you provide results of application and system vulnerability scans to the institution?*</v>
      </c>
      <c r="D80" s="216" t="str">
        <f>IFERROR(VLOOKUP($B80,'Institution Evaluation'!$A$55:$F$346,3,0),IFERROR(VLOOKUP($B80,'Privacy Analyst Evaluation'!$A$46:$F$120,3,0),""))&amp;""</f>
        <v>Yes</v>
      </c>
      <c r="E80" s="216" t="str">
        <f>IFERROR(VLOOKUP($B80,'Institution Evaluation'!$A$55:$F$346,4,0),IFERROR(VLOOKUP($B80,'Privacy Analyst Evaluation'!$A$46:$F$120,4,0),""))&amp;""</f>
        <v xml:space="preserve">Results of scans will be provided to institutions upon request after any critical, high, or medium vulnerabilities are mitigated (see https://nvd.nist.gov/vuln-metrics/cvss for definitions). </v>
      </c>
      <c r="F80" s="216" t="str">
        <f>IFERROR(VLOOKUP($B80,'Institution Evaluation'!$A$55:$F$346,6,0),IFERROR(VLOOKUP($B80,'Privacy Analyst Evaluation'!$A$46:$F$120,6,0),""))&amp;""</f>
        <v/>
      </c>
      <c r="G80" s="217"/>
      <c r="H80" s="216" t="str">
        <f>IFERROR(IF($H79+1&gt;'(backend scoring)'!$Q$335,"",$H79+1),"")</f>
        <v/>
      </c>
      <c r="I80" s="216" t="str">
        <f>_xlfn.XLOOKUP($H80,'(backend scoring)'!$S$2:$S$333,'(backend scoring)'!$A$2:$A$333,"")</f>
        <v/>
      </c>
      <c r="J80" s="216" t="str">
        <f>IFERROR(VLOOKUP($I80,'Institution Evaluation'!$A$55:$F$346,2,0),IFERROR(VLOOKUP($I80,'Privacy Analyst Evaluation'!$A$46:$F$120,2,0),""))</f>
        <v/>
      </c>
      <c r="K80" s="216" t="str">
        <f>IFERROR(VLOOKUP($I80,'Institution Evaluation'!$A$55:$F$346,3,0),IFERROR(VLOOKUP($I80,'Privacy Analyst Evaluation'!$A$46:$F$120,3,0),""))&amp;""</f>
        <v/>
      </c>
      <c r="L80" s="216" t="str">
        <f>IFERROR(VLOOKUP($I80,'Institution Evaluation'!$A$55:$F$346,4,0),IFERROR(VLOOKUP($I80,'Privacy Analyst Evaluation'!$A$46:$F$120,4,0),""))&amp;""</f>
        <v/>
      </c>
      <c r="M80" s="216" t="str">
        <f>IFERROR(VLOOKUP($I80,'Institution Evaluation'!$A$55:$F$346,6,0),IFERROR(VLOOKUP($I80,'Privacy Analyst Evaluation'!$A$46:$F$120,6,0),""))&amp;""</f>
        <v/>
      </c>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row>
    <row r="81" spans="1:338" ht="195" x14ac:dyDescent="0.3">
      <c r="A81" s="216">
        <f>IFERROR(IF($A80+1&gt;'(backend scoring)'!$T$335,"",$A80+1),"")</f>
        <v>57</v>
      </c>
      <c r="B81" s="216" t="str">
        <f>_xlfn.XLOOKUP($A81,'(backend scoring)'!$V$2:$V$333,'(backend scoring)'!$A$2:$A$333,"")</f>
        <v>VULN-03</v>
      </c>
      <c r="C81" s="216" t="str">
        <f>IFERROR(VLOOKUP($B81,'Institution Evaluation'!$A$55:$F$346,2,0),IFERROR(VLOOKUP($B81,'Privacy Analyst Evaluation'!$A$46:$F$120,2,0),""))&amp;""</f>
        <v>Will you allow the institution to perform its own vulnerability testing and/or scanning of your systems and/or application, provided that testing is performed at a mutually agreed upon time and date?*</v>
      </c>
      <c r="D81" s="216" t="str">
        <f>IFERROR(VLOOKUP($B81,'Institution Evaluation'!$A$55:$F$346,3,0),IFERROR(VLOOKUP($B81,'Privacy Analyst Evaluation'!$A$46:$F$120,3,0),""))&amp;""</f>
        <v>No</v>
      </c>
      <c r="E81" s="216" t="str">
        <f>IFERROR(VLOOKUP($B81,'Institution Evaluation'!$A$55:$F$346,4,0),IFERROR(VLOOKUP($B81,'Privacy Analyst Evaluation'!$A$46:$F$120,4,0),""))&amp;""</f>
        <v xml:space="preserve">Testing or scanning against Cirrus Identity production services is prohibited by standard contract. Any Customer requirements to perform testing / scanning of Cirrus Identity production services must be negotiated as part of Customer Contract including additional subscription fees. </v>
      </c>
      <c r="F81" s="216" t="str">
        <f>IFERROR(VLOOKUP($B81,'Institution Evaluation'!$A$55:$F$346,6,0),IFERROR(VLOOKUP($B81,'Privacy Analyst Evaluation'!$A$46:$F$120,6,0),""))&amp;""</f>
        <v/>
      </c>
      <c r="G81" s="217"/>
      <c r="H81" s="216" t="str">
        <f>IFERROR(IF($H80+1&gt;'(backend scoring)'!$Q$335,"",$H80+1),"")</f>
        <v/>
      </c>
      <c r="I81" s="216" t="str">
        <f>_xlfn.XLOOKUP($H81,'(backend scoring)'!$S$2:$S$333,'(backend scoring)'!$A$2:$A$333,"")</f>
        <v/>
      </c>
      <c r="J81" s="216" t="str">
        <f>IFERROR(VLOOKUP($I81,'Institution Evaluation'!$A$55:$F$346,2,0),IFERROR(VLOOKUP($I81,'Privacy Analyst Evaluation'!$A$46:$F$120,2,0),""))</f>
        <v/>
      </c>
      <c r="K81" s="216" t="str">
        <f>IFERROR(VLOOKUP($I81,'Institution Evaluation'!$A$55:$F$346,3,0),IFERROR(VLOOKUP($I81,'Privacy Analyst Evaluation'!$A$46:$F$120,3,0),""))&amp;""</f>
        <v/>
      </c>
      <c r="L81" s="216" t="str">
        <f>IFERROR(VLOOKUP($I81,'Institution Evaluation'!$A$55:$F$346,4,0),IFERROR(VLOOKUP($I81,'Privacy Analyst Evaluation'!$A$46:$F$120,4,0),""))&amp;""</f>
        <v/>
      </c>
      <c r="M81" s="216" t="str">
        <f>IFERROR(VLOOKUP($I81,'Institution Evaluation'!$A$55:$F$346,6,0),IFERROR(VLOOKUP($I81,'Privacy Analyst Evaluation'!$A$46:$F$120,6,0),""))&amp;""</f>
        <v/>
      </c>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row>
    <row r="82" spans="1:338" ht="90" x14ac:dyDescent="0.3">
      <c r="A82" s="216">
        <f>IFERROR(IF($A81+1&gt;'(backend scoring)'!$T$335,"",$A81+1),"")</f>
        <v>58</v>
      </c>
      <c r="B82" s="216" t="str">
        <f>_xlfn.XLOOKUP($A82,'(backend scoring)'!$V$2:$V$333,'(backend scoring)'!$A$2:$A$333,"")</f>
        <v>HIPA-01</v>
      </c>
      <c r="C82" s="216" t="str">
        <f>IFERROR(VLOOKUP($B82,'Institution Evaluation'!$A$55:$F$346,2,0),IFERROR(VLOOKUP($B82,'Privacy Analyst Evaluation'!$A$46:$F$120,2,0),""))&amp;""</f>
        <v>Do your workforce members receive regular training related to the Health Insurance Portability and Accountability Act (HIPAA) Privacy and Security Rules and the HITECH Act?*</v>
      </c>
      <c r="D82" s="216" t="str">
        <f>IFERROR(VLOOKUP($B82,'Institution Evaluation'!$A$55:$F$346,3,0),IFERROR(VLOOKUP($B82,'Privacy Analyst Evaluation'!$A$46:$F$120,3,0),""))&amp;""</f>
        <v/>
      </c>
      <c r="E82" s="216" t="str">
        <f>IFERROR(VLOOKUP($B82,'Institution Evaluation'!$A$55:$F$346,4,0),IFERROR(VLOOKUP($B82,'Privacy Analyst Evaluation'!$A$46:$F$120,4,0),""))&amp;""</f>
        <v/>
      </c>
      <c r="F82" s="216" t="str">
        <f>IFERROR(VLOOKUP($B82,'Institution Evaluation'!$A$55:$F$346,6,0),IFERROR(VLOOKUP($B82,'Privacy Analyst Evaluation'!$A$46:$F$120,6,0),""))&amp;""</f>
        <v/>
      </c>
      <c r="G82" s="217"/>
      <c r="H82" s="216" t="str">
        <f>IFERROR(IF($H81+1&gt;'(backend scoring)'!$Q$335,"",$H81+1),"")</f>
        <v/>
      </c>
      <c r="I82" s="216" t="str">
        <f>_xlfn.XLOOKUP($H82,'(backend scoring)'!$S$2:$S$333,'(backend scoring)'!$A$2:$A$333,"")</f>
        <v/>
      </c>
      <c r="J82" s="216" t="str">
        <f>IFERROR(VLOOKUP($I82,'Institution Evaluation'!$A$55:$F$346,2,0),IFERROR(VLOOKUP($I82,'Privacy Analyst Evaluation'!$A$46:$F$120,2,0),""))</f>
        <v/>
      </c>
      <c r="K82" s="216" t="str">
        <f>IFERROR(VLOOKUP($I82,'Institution Evaluation'!$A$55:$F$346,3,0),IFERROR(VLOOKUP($I82,'Privacy Analyst Evaluation'!$A$46:$F$120,3,0),""))&amp;""</f>
        <v/>
      </c>
      <c r="L82" s="216" t="str">
        <f>IFERROR(VLOOKUP($I82,'Institution Evaluation'!$A$55:$F$346,4,0),IFERROR(VLOOKUP($I82,'Privacy Analyst Evaluation'!$A$46:$F$120,4,0),""))&amp;""</f>
        <v/>
      </c>
      <c r="M82" s="216" t="str">
        <f>IFERROR(VLOOKUP($I82,'Institution Evaluation'!$A$55:$F$346,6,0),IFERROR(VLOOKUP($I82,'Privacy Analyst Evaluation'!$A$46:$F$120,6,0),""))&amp;""</f>
        <v/>
      </c>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row>
    <row r="83" spans="1:338" ht="30" x14ac:dyDescent="0.3">
      <c r="A83" s="216">
        <f>IFERROR(IF($A82+1&gt;'(backend scoring)'!$T$335,"",$A82+1),"")</f>
        <v>59</v>
      </c>
      <c r="B83" s="216" t="str">
        <f>_xlfn.XLOOKUP($A83,'(backend scoring)'!$V$2:$V$333,'(backend scoring)'!$A$2:$A$333,"")</f>
        <v>HIPA-02</v>
      </c>
      <c r="C83" s="216" t="str">
        <f>IFERROR(VLOOKUP($B83,'Institution Evaluation'!$A$55:$F$346,2,0),IFERROR(VLOOKUP($B83,'Privacy Analyst Evaluation'!$A$46:$F$120,2,0),""))&amp;""</f>
        <v>Have you identified areas of risk?*</v>
      </c>
      <c r="D83" s="216" t="str">
        <f>IFERROR(VLOOKUP($B83,'Institution Evaluation'!$A$55:$F$346,3,0),IFERROR(VLOOKUP($B83,'Privacy Analyst Evaluation'!$A$46:$F$120,3,0),""))&amp;""</f>
        <v/>
      </c>
      <c r="E83" s="216" t="str">
        <f>IFERROR(VLOOKUP($B83,'Institution Evaluation'!$A$55:$F$346,4,0),IFERROR(VLOOKUP($B83,'Privacy Analyst Evaluation'!$A$46:$F$120,4,0),""))&amp;""</f>
        <v/>
      </c>
      <c r="F83" s="216" t="str">
        <f>IFERROR(VLOOKUP($B83,'Institution Evaluation'!$A$55:$F$346,6,0),IFERROR(VLOOKUP($B83,'Privacy Analyst Evaluation'!$A$46:$F$120,6,0),""))&amp;""</f>
        <v/>
      </c>
      <c r="G83" s="217"/>
      <c r="H83" s="216" t="str">
        <f>IFERROR(IF($H82+1&gt;'(backend scoring)'!$Q$335,"",$H82+1),"")</f>
        <v/>
      </c>
      <c r="I83" s="216" t="str">
        <f>_xlfn.XLOOKUP($H83,'(backend scoring)'!$S$2:$S$333,'(backend scoring)'!$A$2:$A$333,"")</f>
        <v/>
      </c>
      <c r="J83" s="216" t="str">
        <f>IFERROR(VLOOKUP($I83,'Institution Evaluation'!$A$55:$F$346,2,0),IFERROR(VLOOKUP($I83,'Privacy Analyst Evaluation'!$A$46:$F$120,2,0),""))</f>
        <v/>
      </c>
      <c r="K83" s="216" t="str">
        <f>IFERROR(VLOOKUP($I83,'Institution Evaluation'!$A$55:$F$346,3,0),IFERROR(VLOOKUP($I83,'Privacy Analyst Evaluation'!$A$46:$F$120,3,0),""))&amp;""</f>
        <v/>
      </c>
      <c r="L83" s="216" t="str">
        <f>IFERROR(VLOOKUP($I83,'Institution Evaluation'!$A$55:$F$346,4,0),IFERROR(VLOOKUP($I83,'Privacy Analyst Evaluation'!$A$46:$F$120,4,0),""))&amp;""</f>
        <v/>
      </c>
      <c r="M83" s="216" t="str">
        <f>IFERROR(VLOOKUP($I83,'Institution Evaluation'!$A$55:$F$346,6,0),IFERROR(VLOOKUP($I83,'Privacy Analyst Evaluation'!$A$46:$F$120,6,0),""))&amp;""</f>
        <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row>
    <row r="84" spans="1:338" ht="30" x14ac:dyDescent="0.3">
      <c r="A84" s="216">
        <f>IFERROR(IF($A83+1&gt;'(backend scoring)'!$T$335,"",$A83+1),"")</f>
        <v>60</v>
      </c>
      <c r="B84" s="216" t="str">
        <f>_xlfn.XLOOKUP($A84,'(backend scoring)'!$V$2:$V$333,'(backend scoring)'!$A$2:$A$333,"")</f>
        <v>HIPA-03</v>
      </c>
      <c r="C84" s="216" t="str">
        <f>IFERROR(VLOOKUP($B84,'Institution Evaluation'!$A$55:$F$346,2,0),IFERROR(VLOOKUP($B84,'Privacy Analyst Evaluation'!$A$46:$F$120,2,0),""))&amp;""</f>
        <v>Have the relevant policies/plans been tested?*</v>
      </c>
      <c r="D84" s="216" t="str">
        <f>IFERROR(VLOOKUP($B84,'Institution Evaluation'!$A$55:$F$346,3,0),IFERROR(VLOOKUP($B84,'Privacy Analyst Evaluation'!$A$46:$F$120,3,0),""))&amp;""</f>
        <v/>
      </c>
      <c r="E84" s="216" t="str">
        <f>IFERROR(VLOOKUP($B84,'Institution Evaluation'!$A$55:$F$346,4,0),IFERROR(VLOOKUP($B84,'Privacy Analyst Evaluation'!$A$46:$F$120,4,0),""))&amp;""</f>
        <v/>
      </c>
      <c r="F84" s="216" t="str">
        <f>IFERROR(VLOOKUP($B84,'Institution Evaluation'!$A$55:$F$346,6,0),IFERROR(VLOOKUP($B84,'Privacy Analyst Evaluation'!$A$46:$F$120,6,0),""))&amp;""</f>
        <v/>
      </c>
      <c r="G84" s="217"/>
      <c r="H84" s="216" t="str">
        <f>IFERROR(IF($H83+1&gt;'(backend scoring)'!$Q$335,"",$H83+1),"")</f>
        <v/>
      </c>
      <c r="I84" s="216" t="str">
        <f>_xlfn.XLOOKUP($H84,'(backend scoring)'!$S$2:$S$333,'(backend scoring)'!$A$2:$A$333,"")</f>
        <v/>
      </c>
      <c r="J84" s="216" t="str">
        <f>IFERROR(VLOOKUP($I84,'Institution Evaluation'!$A$55:$F$346,2,0),IFERROR(VLOOKUP($I84,'Privacy Analyst Evaluation'!$A$46:$F$120,2,0),""))</f>
        <v/>
      </c>
      <c r="K84" s="216" t="str">
        <f>IFERROR(VLOOKUP($I84,'Institution Evaluation'!$A$55:$F$346,3,0),IFERROR(VLOOKUP($I84,'Privacy Analyst Evaluation'!$A$46:$F$120,3,0),""))&amp;""</f>
        <v/>
      </c>
      <c r="L84" s="216" t="str">
        <f>IFERROR(VLOOKUP($I84,'Institution Evaluation'!$A$55:$F$346,4,0),IFERROR(VLOOKUP($I84,'Privacy Analyst Evaluation'!$A$46:$F$120,4,0),""))&amp;""</f>
        <v/>
      </c>
      <c r="M84" s="216" t="str">
        <f>IFERROR(VLOOKUP($I84,'Institution Evaluation'!$A$55:$F$346,6,0),IFERROR(VLOOKUP($I84,'Privacy Analyst Evaluation'!$A$46:$F$120,6,0),""))&amp;""</f>
        <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row>
    <row r="85" spans="1:338" ht="75" x14ac:dyDescent="0.3">
      <c r="A85" s="216">
        <f>IFERROR(IF($A84+1&gt;'(backend scoring)'!$T$335,"",$A84+1),"")</f>
        <v>61</v>
      </c>
      <c r="B85" s="216" t="str">
        <f>_xlfn.XLOOKUP($A85,'(backend scoring)'!$V$2:$V$333,'(backend scoring)'!$A$2:$A$333,"")</f>
        <v>HIPA-04</v>
      </c>
      <c r="C85" s="216" t="str">
        <f>IFERROR(VLOOKUP($B85,'Institution Evaluation'!$A$55:$F$346,2,0),IFERROR(VLOOKUP($B85,'Privacy Analyst Evaluation'!$A$46:$F$120,2,0),""))&amp;""</f>
        <v>Have you entered into a Business Associate Agreements with all subcontractors who may have access to protected health information (PHI)?*</v>
      </c>
      <c r="D85" s="216" t="str">
        <f>IFERROR(VLOOKUP($B85,'Institution Evaluation'!$A$55:$F$346,3,0),IFERROR(VLOOKUP($B85,'Privacy Analyst Evaluation'!$A$46:$F$120,3,0),""))&amp;""</f>
        <v/>
      </c>
      <c r="E85" s="216" t="str">
        <f>IFERROR(VLOOKUP($B85,'Institution Evaluation'!$A$55:$F$346,4,0),IFERROR(VLOOKUP($B85,'Privacy Analyst Evaluation'!$A$46:$F$120,4,0),""))&amp;""</f>
        <v/>
      </c>
      <c r="F85" s="216" t="str">
        <f>IFERROR(VLOOKUP($B85,'Institution Evaluation'!$A$55:$F$346,6,0),IFERROR(VLOOKUP($B85,'Privacy Analyst Evaluation'!$A$46:$F$120,6,0),""))&amp;""</f>
        <v/>
      </c>
      <c r="G85" s="217"/>
      <c r="H85" s="216" t="str">
        <f>IFERROR(IF($H84+1&gt;'(backend scoring)'!$Q$335,"",$H84+1),"")</f>
        <v/>
      </c>
      <c r="I85" s="216" t="str">
        <f>_xlfn.XLOOKUP($H85,'(backend scoring)'!$S$2:$S$333,'(backend scoring)'!$A$2:$A$333,"")</f>
        <v/>
      </c>
      <c r="J85" s="216" t="str">
        <f>IFERROR(VLOOKUP($I85,'Institution Evaluation'!$A$55:$F$346,2,0),IFERROR(VLOOKUP($I85,'Privacy Analyst Evaluation'!$A$46:$F$120,2,0),""))</f>
        <v/>
      </c>
      <c r="K85" s="216" t="str">
        <f>IFERROR(VLOOKUP($I85,'Institution Evaluation'!$A$55:$F$346,3,0),IFERROR(VLOOKUP($I85,'Privacy Analyst Evaluation'!$A$46:$F$120,3,0),""))&amp;""</f>
        <v/>
      </c>
      <c r="L85" s="216" t="str">
        <f>IFERROR(VLOOKUP($I85,'Institution Evaluation'!$A$55:$F$346,4,0),IFERROR(VLOOKUP($I85,'Privacy Analyst Evaluation'!$A$46:$F$120,4,0),""))&amp;""</f>
        <v/>
      </c>
      <c r="M85" s="216" t="str">
        <f>IFERROR(VLOOKUP($I85,'Institution Evaluation'!$A$55:$F$346,6,0),IFERROR(VLOOKUP($I85,'Privacy Analyst Evaluation'!$A$46:$F$120,6,0),""))&amp;""</f>
        <v/>
      </c>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row>
    <row r="86" spans="1:338" ht="60" x14ac:dyDescent="0.3">
      <c r="A86" s="216">
        <f>IFERROR(IF($A85+1&gt;'(backend scoring)'!$T$335,"",$A85+1),"")</f>
        <v>62</v>
      </c>
      <c r="B86" s="216" t="str">
        <f>_xlfn.XLOOKUP($A86,'(backend scoring)'!$V$2:$V$333,'(backend scoring)'!$A$2:$A$333,"")</f>
        <v>PCID-01</v>
      </c>
      <c r="C86" s="216" t="str">
        <f>IFERROR(VLOOKUP($B86,'Institution Evaluation'!$A$55:$F$346,2,0),IFERROR(VLOOKUP($B86,'Privacy Analyst Evaluation'!$A$46:$F$120,2,0),""))&amp;""</f>
        <v>Do you have a current, executed within the past year, Attestation of Compliance (AoC) or Report on Compliance (RoC)?*</v>
      </c>
      <c r="D86" s="216" t="str">
        <f>IFERROR(VLOOKUP($B86,'Institution Evaluation'!$A$55:$F$346,3,0),IFERROR(VLOOKUP($B86,'Privacy Analyst Evaluation'!$A$46:$F$120,3,0),""))&amp;""</f>
        <v/>
      </c>
      <c r="E86" s="216" t="str">
        <f>IFERROR(VLOOKUP($B86,'Institution Evaluation'!$A$55:$F$346,4,0),IFERROR(VLOOKUP($B86,'Privacy Analyst Evaluation'!$A$46:$F$120,4,0),""))&amp;""</f>
        <v/>
      </c>
      <c r="F86" s="216" t="str">
        <f>IFERROR(VLOOKUP($B86,'Institution Evaluation'!$A$55:$F$346,6,0),IFERROR(VLOOKUP($B86,'Privacy Analyst Evaluation'!$A$46:$F$120,6,0),""))&amp;""</f>
        <v/>
      </c>
      <c r="G86" s="217"/>
      <c r="H86" s="216" t="str">
        <f>IFERROR(IF($H85+1&gt;'(backend scoring)'!$Q$335,"",$H85+1),"")</f>
        <v/>
      </c>
      <c r="I86" s="216" t="str">
        <f>_xlfn.XLOOKUP($H86,'(backend scoring)'!$S$2:$S$333,'(backend scoring)'!$A$2:$A$333,"")</f>
        <v/>
      </c>
      <c r="J86" s="216" t="str">
        <f>IFERROR(VLOOKUP($I86,'Institution Evaluation'!$A$55:$F$346,2,0),IFERROR(VLOOKUP($I86,'Privacy Analyst Evaluation'!$A$46:$F$120,2,0),""))</f>
        <v/>
      </c>
      <c r="K86" s="216" t="str">
        <f>IFERROR(VLOOKUP($I86,'Institution Evaluation'!$A$55:$F$346,3,0),IFERROR(VLOOKUP($I86,'Privacy Analyst Evaluation'!$A$46:$F$120,3,0),""))&amp;""</f>
        <v/>
      </c>
      <c r="L86" s="216" t="str">
        <f>IFERROR(VLOOKUP($I86,'Institution Evaluation'!$A$55:$F$346,4,0),IFERROR(VLOOKUP($I86,'Privacy Analyst Evaluation'!$A$46:$F$120,4,0),""))&amp;""</f>
        <v/>
      </c>
      <c r="M86" s="216" t="str">
        <f>IFERROR(VLOOKUP($I86,'Institution Evaluation'!$A$55:$F$346,6,0),IFERROR(VLOOKUP($I86,'Privacy Analyst Evaluation'!$A$46:$F$120,6,0),""))&amp;""</f>
        <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row>
    <row r="87" spans="1:338" ht="60" x14ac:dyDescent="0.3">
      <c r="A87" s="216">
        <f>IFERROR(IF($A86+1&gt;'(backend scoring)'!$T$335,"",$A86+1),"")</f>
        <v>63</v>
      </c>
      <c r="B87" s="216" t="str">
        <f>_xlfn.XLOOKUP($A87,'(backend scoring)'!$V$2:$V$333,'(backend scoring)'!$A$2:$A$333,"")</f>
        <v>PCID-02</v>
      </c>
      <c r="C87" s="216" t="str">
        <f>IFERROR(VLOOKUP($B87,'Institution Evaluation'!$A$55:$F$346,2,0),IFERROR(VLOOKUP($B87,'Privacy Analyst Evaluation'!$A$46:$F$120,2,0),""))&amp;""</f>
        <v>Is the application listed as an approved Payment Application Data Security Standard (PA-DSS) application?*</v>
      </c>
      <c r="D87" s="216" t="str">
        <f>IFERROR(VLOOKUP($B87,'Institution Evaluation'!$A$55:$F$346,3,0),IFERROR(VLOOKUP($B87,'Privacy Analyst Evaluation'!$A$46:$F$120,3,0),""))&amp;""</f>
        <v/>
      </c>
      <c r="E87" s="216" t="str">
        <f>IFERROR(VLOOKUP($B87,'Institution Evaluation'!$A$55:$F$346,4,0),IFERROR(VLOOKUP($B87,'Privacy Analyst Evaluation'!$A$46:$F$120,4,0),""))&amp;""</f>
        <v/>
      </c>
      <c r="F87" s="216" t="str">
        <f>IFERROR(VLOOKUP($B87,'Institution Evaluation'!$A$55:$F$346,6,0),IFERROR(VLOOKUP($B87,'Privacy Analyst Evaluation'!$A$46:$F$120,6,0),""))&amp;""</f>
        <v/>
      </c>
      <c r="G87" s="217"/>
      <c r="H87" s="216" t="str">
        <f>IFERROR(IF($H86+1&gt;'(backend scoring)'!$Q$335,"",$H86+1),"")</f>
        <v/>
      </c>
      <c r="I87" s="216" t="str">
        <f>_xlfn.XLOOKUP($H87,'(backend scoring)'!$S$2:$S$333,'(backend scoring)'!$A$2:$A$333,"")</f>
        <v/>
      </c>
      <c r="J87" s="216" t="str">
        <f>IFERROR(VLOOKUP($I87,'Institution Evaluation'!$A$55:$F$346,2,0),IFERROR(VLOOKUP($I87,'Privacy Analyst Evaluation'!$A$46:$F$120,2,0),""))</f>
        <v/>
      </c>
      <c r="K87" s="216" t="str">
        <f>IFERROR(VLOOKUP($I87,'Institution Evaluation'!$A$55:$F$346,3,0),IFERROR(VLOOKUP($I87,'Privacy Analyst Evaluation'!$A$46:$F$120,3,0),""))&amp;""</f>
        <v/>
      </c>
      <c r="L87" s="216" t="str">
        <f>IFERROR(VLOOKUP($I87,'Institution Evaluation'!$A$55:$F$346,4,0),IFERROR(VLOOKUP($I87,'Privacy Analyst Evaluation'!$A$46:$F$120,4,0),""))&amp;""</f>
        <v/>
      </c>
      <c r="M87" s="216" t="str">
        <f>IFERROR(VLOOKUP($I87,'Institution Evaluation'!$A$55:$F$346,6,0),IFERROR(VLOOKUP($I87,'Privacy Analyst Evaluation'!$A$46:$F$120,6,0),""))&amp;""</f>
        <v/>
      </c>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row>
    <row r="88" spans="1:338" ht="75" x14ac:dyDescent="0.3">
      <c r="A88" s="216">
        <f>IFERROR(IF($A87+1&gt;'(backend scoring)'!$T$335,"",$A87+1),"")</f>
        <v>64</v>
      </c>
      <c r="B88" s="216" t="str">
        <f>_xlfn.XLOOKUP($A88,'(backend scoring)'!$V$2:$V$333,'(backend scoring)'!$A$2:$A$333,"")</f>
        <v>PCID-03</v>
      </c>
      <c r="C88" s="216" t="str">
        <f>IFERROR(VLOOKUP($B88,'Institution Evaluation'!$A$55:$F$346,2,0),IFERROR(VLOOKUP($B88,'Privacy Analyst Evaluation'!$A$46:$F$120,2,0),""))&amp;""</f>
        <v>Does the system or solutions use a third party to collect, store, process, or transmit cardholder (payment/credit/debt card) data?*</v>
      </c>
      <c r="D88" s="216" t="str">
        <f>IFERROR(VLOOKUP($B88,'Institution Evaluation'!$A$55:$F$346,3,0),IFERROR(VLOOKUP($B88,'Privacy Analyst Evaluation'!$A$46:$F$120,3,0),""))&amp;""</f>
        <v/>
      </c>
      <c r="E88" s="216" t="str">
        <f>IFERROR(VLOOKUP($B88,'Institution Evaluation'!$A$55:$F$346,4,0),IFERROR(VLOOKUP($B88,'Privacy Analyst Evaluation'!$A$46:$F$120,4,0),""))&amp;""</f>
        <v/>
      </c>
      <c r="F88" s="216" t="str">
        <f>IFERROR(VLOOKUP($B88,'Institution Evaluation'!$A$55:$F$346,6,0),IFERROR(VLOOKUP($B88,'Privacy Analyst Evaluation'!$A$46:$F$120,6,0),""))&amp;""</f>
        <v/>
      </c>
      <c r="G88" s="217"/>
      <c r="H88" s="216" t="str">
        <f>IFERROR(IF($H87+1&gt;'(backend scoring)'!$Q$335,"",$H87+1),"")</f>
        <v/>
      </c>
      <c r="I88" s="216" t="str">
        <f>_xlfn.XLOOKUP($H88,'(backend scoring)'!$S$2:$S$333,'(backend scoring)'!$A$2:$A$333,"")</f>
        <v/>
      </c>
      <c r="J88" s="216" t="str">
        <f>IFERROR(VLOOKUP($I88,'Institution Evaluation'!$A$55:$F$346,2,0),IFERROR(VLOOKUP($I88,'Privacy Analyst Evaluation'!$A$46:$F$120,2,0),""))</f>
        <v/>
      </c>
      <c r="K88" s="216" t="str">
        <f>IFERROR(VLOOKUP($I88,'Institution Evaluation'!$A$55:$F$346,3,0),IFERROR(VLOOKUP($I88,'Privacy Analyst Evaluation'!$A$46:$F$120,3,0),""))&amp;""</f>
        <v/>
      </c>
      <c r="L88" s="216" t="str">
        <f>IFERROR(VLOOKUP($I88,'Institution Evaluation'!$A$55:$F$346,4,0),IFERROR(VLOOKUP($I88,'Privacy Analyst Evaluation'!$A$46:$F$120,4,0),""))&amp;""</f>
        <v/>
      </c>
      <c r="M88" s="216" t="str">
        <f>IFERROR(VLOOKUP($I88,'Institution Evaluation'!$A$55:$F$346,6,0),IFERROR(VLOOKUP($I88,'Privacy Analyst Evaluation'!$A$46:$F$120,6,0),""))&amp;""</f>
        <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row>
    <row r="89" spans="1:338" ht="105" x14ac:dyDescent="0.3">
      <c r="A89" s="216">
        <f>IFERROR(IF($A88+1&gt;'(backend scoring)'!$T$335,"",$A88+1),"")</f>
        <v>65</v>
      </c>
      <c r="B89" s="216" t="str">
        <f>_xlfn.XLOOKUP($A89,'(backend scoring)'!$V$2:$V$333,'(backend scoring)'!$A$2:$A$333,"")</f>
        <v>PCOM-01</v>
      </c>
      <c r="C89" s="216" t="str">
        <f>IFERROR(VLOOKUP($B89,'Institution Evaluation'!$A$55:$F$346,2,0),IFERROR(VLOOKUP($B89,'Privacy Analyst Evaluation'!$A$46:$F$120,2,0),""))&amp;""</f>
        <v>Have you had a personal data breach in the past three years that involved reporting to a governmental agency, notice to individuals (including voluntary notice), or notice to another organization or institution?*</v>
      </c>
      <c r="D89" s="216" t="str">
        <f>IFERROR(VLOOKUP($B89,'Institution Evaluation'!$A$55:$F$346,3,0),IFERROR(VLOOKUP($B89,'Privacy Analyst Evaluation'!$A$46:$F$120,3,0),""))&amp;""</f>
        <v>No</v>
      </c>
      <c r="E89" s="216" t="str">
        <f>IFERROR(VLOOKUP($B89,'Institution Evaluation'!$A$55:$F$346,4,0),IFERROR(VLOOKUP($B89,'Privacy Analyst Evaluation'!$A$46:$F$120,4,0),""))&amp;""</f>
        <v/>
      </c>
      <c r="F89" s="216" t="str">
        <f>IFERROR(VLOOKUP($B89,'Institution Evaluation'!$A$55:$F$346,6,0),IFERROR(VLOOKUP($B89,'Privacy Analyst Evaluation'!$A$46:$F$120,6,0),""))&amp;""</f>
        <v/>
      </c>
      <c r="G89" s="217"/>
      <c r="H89" s="216" t="str">
        <f>IFERROR(IF($H88+1&gt;'(backend scoring)'!$Q$335,"",$H88+1),"")</f>
        <v/>
      </c>
      <c r="I89" s="216" t="str">
        <f>_xlfn.XLOOKUP($H89,'(backend scoring)'!$S$2:$S$333,'(backend scoring)'!$A$2:$A$333,"")</f>
        <v/>
      </c>
      <c r="J89" s="216" t="str">
        <f>IFERROR(VLOOKUP($I89,'Institution Evaluation'!$A$55:$F$346,2,0),IFERROR(VLOOKUP($I89,'Privacy Analyst Evaluation'!$A$46:$F$120,2,0),""))</f>
        <v/>
      </c>
      <c r="K89" s="216" t="str">
        <f>IFERROR(VLOOKUP($I89,'Institution Evaluation'!$A$55:$F$346,3,0),IFERROR(VLOOKUP($I89,'Privacy Analyst Evaluation'!$A$46:$F$120,3,0),""))&amp;""</f>
        <v/>
      </c>
      <c r="L89" s="216" t="str">
        <f>IFERROR(VLOOKUP($I89,'Institution Evaluation'!$A$55:$F$346,4,0),IFERROR(VLOOKUP($I89,'Privacy Analyst Evaluation'!$A$46:$F$120,4,0),""))&amp;""</f>
        <v/>
      </c>
      <c r="M89" s="216" t="str">
        <f>IFERROR(VLOOKUP($I89,'Institution Evaluation'!$A$55:$F$346,6,0),IFERROR(VLOOKUP($I89,'Privacy Analyst Evaluation'!$A$46:$F$120,6,0),""))&amp;""</f>
        <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row>
    <row r="90" spans="1:338" ht="405" x14ac:dyDescent="0.3">
      <c r="A90" s="216">
        <f>IFERROR(IF($A89+1&gt;'(backend scoring)'!$T$335,"",$A89+1),"")</f>
        <v>66</v>
      </c>
      <c r="B90" s="216" t="str">
        <f>_xlfn.XLOOKUP($A90,'(backend scoring)'!$V$2:$V$333,'(backend scoring)'!$A$2:$A$333,"")</f>
        <v>PCOM-02</v>
      </c>
      <c r="C90" s="216" t="str">
        <f>IFERROR(VLOOKUP($B90,'Institution Evaluation'!$A$55:$F$346,2,0),IFERROR(VLOOKUP($B90,'Privacy Analyst Evaluation'!$A$46:$F$120,2,0),""))&amp;""</f>
        <v>Use this area to share information about your privacy practices that will assist those who are assessing your company data privacy program.*</v>
      </c>
      <c r="D90" s="216" t="str">
        <f>IFERROR(VLOOKUP($B90,'Institution Evaluation'!$A$55:$F$346,3,0),IFERROR(VLOOKUP($B90,'Privacy Analyst Evaluation'!$A$46:$F$120,3,0),""))&amp;""</f>
        <v/>
      </c>
      <c r="E90" s="216" t="str">
        <f>IFERROR(VLOOKUP($B90,'Institution Evaluation'!$A$55:$F$346,4,0),IFERROR(VLOOKUP($B90,'Privacy Analyst Evaluation'!$A$46:$F$120,4,0),""))&amp;""</f>
        <v>Cirrus Identity aims to collect and store the least amount of end user personal data necessary to deliver access control services for customers. Unless modified by contract, The Customer is the primary Data Controller and ultimately controls what data is processed by Cirrus Identity. Privacy practices are covered by the Cirrus Identity Privacy Policy (available from https://www.cirrusidentity.com/resources/trust-and-compliance-center) and the Data Management section of the contract with the customer. A sample of the default contract langauge is available upon request.</v>
      </c>
      <c r="F90" s="216" t="str">
        <f>IFERROR(VLOOKUP($B90,'Institution Evaluation'!$A$55:$F$346,6,0),IFERROR(VLOOKUP($B90,'Privacy Analyst Evaluation'!$A$46:$F$120,6,0),""))&amp;""</f>
        <v/>
      </c>
      <c r="G90" s="217"/>
      <c r="H90" s="216" t="str">
        <f>IFERROR(IF($H89+1&gt;'(backend scoring)'!$Q$335,"",$H89+1),"")</f>
        <v/>
      </c>
      <c r="I90" s="216" t="str">
        <f>_xlfn.XLOOKUP($H90,'(backend scoring)'!$S$2:$S$333,'(backend scoring)'!$A$2:$A$333,"")</f>
        <v/>
      </c>
      <c r="J90" s="216" t="str">
        <f>IFERROR(VLOOKUP($I90,'Institution Evaluation'!$A$55:$F$346,2,0),IFERROR(VLOOKUP($I90,'Privacy Analyst Evaluation'!$A$46:$F$120,2,0),""))</f>
        <v/>
      </c>
      <c r="K90" s="216" t="str">
        <f>IFERROR(VLOOKUP($I90,'Institution Evaluation'!$A$55:$F$346,3,0),IFERROR(VLOOKUP($I90,'Privacy Analyst Evaluation'!$A$46:$F$120,3,0),""))&amp;""</f>
        <v/>
      </c>
      <c r="L90" s="216" t="str">
        <f>IFERROR(VLOOKUP($I90,'Institution Evaluation'!$A$55:$F$346,4,0),IFERROR(VLOOKUP($I90,'Privacy Analyst Evaluation'!$A$46:$F$120,4,0),""))&amp;""</f>
        <v/>
      </c>
      <c r="M90" s="216" t="str">
        <f>IFERROR(VLOOKUP($I90,'Institution Evaluation'!$A$55:$F$346,6,0),IFERROR(VLOOKUP($I90,'Privacy Analyst Evaluation'!$A$46:$F$120,6,0),""))&amp;""</f>
        <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row>
    <row r="91" spans="1:338" ht="75" x14ac:dyDescent="0.3">
      <c r="A91" s="216">
        <f>IFERROR(IF($A90+1&gt;'(backend scoring)'!$T$335,"",$A90+1),"")</f>
        <v>67</v>
      </c>
      <c r="B91" s="216" t="str">
        <f>_xlfn.XLOOKUP($A91,'(backend scoring)'!$V$2:$V$333,'(backend scoring)'!$A$2:$A$333,"")</f>
        <v>PTHP-01</v>
      </c>
      <c r="C91" s="216" t="str">
        <f>IFERROR(VLOOKUP($B91,'Institution Evaluation'!$A$55:$F$346,2,0),IFERROR(VLOOKUP($B91,'Privacy Analyst Evaluation'!$A$46:$F$120,2,0),""))&amp;""</f>
        <v>Do you have contractual agreements with third parties that require them to maintain standards and to comply with all regulatory requirements?*</v>
      </c>
      <c r="D91" s="216" t="str">
        <f>IFERROR(VLOOKUP($B91,'Institution Evaluation'!$A$55:$F$346,3,0),IFERROR(VLOOKUP($B91,'Privacy Analyst Evaluation'!$A$46:$F$120,3,0),""))&amp;""</f>
        <v>Yes</v>
      </c>
      <c r="E91" s="216" t="str">
        <f>IFERROR(VLOOKUP($B91,'Institution Evaluation'!$A$55:$F$346,4,0),IFERROR(VLOOKUP($B91,'Privacy Analyst Evaluation'!$A$46:$F$120,4,0),""))&amp;""</f>
        <v/>
      </c>
      <c r="F91" s="216" t="str">
        <f>IFERROR(VLOOKUP($B91,'Institution Evaluation'!$A$55:$F$346,6,0),IFERROR(VLOOKUP($B91,'Privacy Analyst Evaluation'!$A$46:$F$120,6,0),""))&amp;""</f>
        <v/>
      </c>
      <c r="G91" s="217"/>
      <c r="H91" s="216" t="str">
        <f>IFERROR(IF($H90+1&gt;'(backend scoring)'!$Q$335,"",$H90+1),"")</f>
        <v/>
      </c>
      <c r="I91" s="216" t="str">
        <f>_xlfn.XLOOKUP($H91,'(backend scoring)'!$S$2:$S$333,'(backend scoring)'!$A$2:$A$333,"")</f>
        <v/>
      </c>
      <c r="J91" s="216" t="str">
        <f>IFERROR(VLOOKUP($I91,'Institution Evaluation'!$A$55:$F$346,2,0),IFERROR(VLOOKUP($I91,'Privacy Analyst Evaluation'!$A$46:$F$120,2,0),""))</f>
        <v/>
      </c>
      <c r="K91" s="216" t="str">
        <f>IFERROR(VLOOKUP($I91,'Institution Evaluation'!$A$55:$F$346,3,0),IFERROR(VLOOKUP($I91,'Privacy Analyst Evaluation'!$A$46:$F$120,3,0),""))&amp;""</f>
        <v/>
      </c>
      <c r="L91" s="216" t="str">
        <f>IFERROR(VLOOKUP($I91,'Institution Evaluation'!$A$55:$F$346,4,0),IFERROR(VLOOKUP($I91,'Privacy Analyst Evaluation'!$A$46:$F$120,4,0),""))&amp;""</f>
        <v/>
      </c>
      <c r="M91" s="216" t="str">
        <f>IFERROR(VLOOKUP($I91,'Institution Evaluation'!$A$55:$F$346,6,0),IFERROR(VLOOKUP($I91,'Privacy Analyst Evaluation'!$A$46:$F$120,6,0),""))&amp;""</f>
        <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row>
    <row r="92" spans="1:338" ht="30" x14ac:dyDescent="0.3">
      <c r="A92" s="216">
        <f>IFERROR(IF($A91+1&gt;'(backend scoring)'!$T$335,"",$A91+1),"")</f>
        <v>68</v>
      </c>
      <c r="B92" s="216" t="str">
        <f>_xlfn.XLOOKUP($A92,'(backend scoring)'!$V$2:$V$333,'(backend scoring)'!$A$2:$A$333,"")</f>
        <v>PDAT-01</v>
      </c>
      <c r="C92" s="216" t="str">
        <f>IFERROR(VLOOKUP($B92,'Institution Evaluation'!$A$55:$F$346,2,0),IFERROR(VLOOKUP($B92,'Privacy Analyst Evaluation'!$A$46:$F$120,2,0),""))&amp;""</f>
        <v>Do you collect, process, or store demographic information?*</v>
      </c>
      <c r="D92" s="216" t="str">
        <f>IFERROR(VLOOKUP($B92,'Institution Evaluation'!$A$55:$F$346,3,0),IFERROR(VLOOKUP($B92,'Privacy Analyst Evaluation'!$A$46:$F$120,3,0),""))&amp;""</f>
        <v>No</v>
      </c>
      <c r="E92" s="216" t="str">
        <f>IFERROR(VLOOKUP($B92,'Institution Evaluation'!$A$55:$F$346,4,0),IFERROR(VLOOKUP($B92,'Privacy Analyst Evaluation'!$A$46:$F$120,4,0),""))&amp;""</f>
        <v/>
      </c>
      <c r="F92" s="216" t="str">
        <f>IFERROR(VLOOKUP($B92,'Institution Evaluation'!$A$55:$F$346,6,0),IFERROR(VLOOKUP($B92,'Privacy Analyst Evaluation'!$A$46:$F$120,6,0),""))&amp;""</f>
        <v/>
      </c>
      <c r="G92" s="217"/>
      <c r="H92" s="216" t="str">
        <f>IFERROR(IF($H91+1&gt;'(backend scoring)'!$Q$335,"",$H91+1),"")</f>
        <v/>
      </c>
      <c r="I92" s="216" t="str">
        <f>_xlfn.XLOOKUP($H92,'(backend scoring)'!$S$2:$S$333,'(backend scoring)'!$A$2:$A$333,"")</f>
        <v/>
      </c>
      <c r="J92" s="216" t="str">
        <f>IFERROR(VLOOKUP($I92,'Institution Evaluation'!$A$55:$F$346,2,0),IFERROR(VLOOKUP($I92,'Privacy Analyst Evaluation'!$A$46:$F$120,2,0),""))</f>
        <v/>
      </c>
      <c r="K92" s="216" t="str">
        <f>IFERROR(VLOOKUP($I92,'Institution Evaluation'!$A$55:$F$346,3,0),IFERROR(VLOOKUP($I92,'Privacy Analyst Evaluation'!$A$46:$F$120,3,0),""))&amp;""</f>
        <v/>
      </c>
      <c r="L92" s="216" t="str">
        <f>IFERROR(VLOOKUP($I92,'Institution Evaluation'!$A$55:$F$346,4,0),IFERROR(VLOOKUP($I92,'Privacy Analyst Evaluation'!$A$46:$F$120,4,0),""))&amp;""</f>
        <v/>
      </c>
      <c r="M92" s="216" t="str">
        <f>IFERROR(VLOOKUP($I92,'Institution Evaluation'!$A$55:$F$346,6,0),IFERROR(VLOOKUP($I92,'Privacy Analyst Evaluation'!$A$46:$F$120,6,0),""))&amp;""</f>
        <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row>
    <row r="93" spans="1:338" ht="75" x14ac:dyDescent="0.3">
      <c r="A93" s="216">
        <f>IFERROR(IF($A92+1&gt;'(backend scoring)'!$T$335,"",$A92+1),"")</f>
        <v>69</v>
      </c>
      <c r="B93" s="216" t="str">
        <f>_xlfn.XLOOKUP($A93,'(backend scoring)'!$V$2:$V$333,'(backend scoring)'!$A$2:$A$333,"")</f>
        <v>PDAT-02</v>
      </c>
      <c r="C93" s="216" t="str">
        <f>IFERROR(VLOOKUP($B93,'Institution Evaluation'!$A$55:$F$346,2,0),IFERROR(VLOOKUP($B93,'Privacy Analyst Evaluation'!$A$46:$F$120,2,0),""))&amp;""</f>
        <v>Do you capture or create genetic, biometric, or behaviometric information (e.g.,  facial recognition or fingerprints)?*</v>
      </c>
      <c r="D93" s="216" t="str">
        <f>IFERROR(VLOOKUP($B93,'Institution Evaluation'!$A$55:$F$346,3,0),IFERROR(VLOOKUP($B93,'Privacy Analyst Evaluation'!$A$46:$F$120,3,0),""))&amp;""</f>
        <v>No</v>
      </c>
      <c r="E93" s="216" t="str">
        <f>IFERROR(VLOOKUP($B93,'Institution Evaluation'!$A$55:$F$346,4,0),IFERROR(VLOOKUP($B93,'Privacy Analyst Evaluation'!$A$46:$F$120,4,0),""))&amp;""</f>
        <v/>
      </c>
      <c r="F93" s="216" t="str">
        <f>IFERROR(VLOOKUP($B93,'Institution Evaluation'!$A$55:$F$346,6,0),IFERROR(VLOOKUP($B93,'Privacy Analyst Evaluation'!$A$46:$F$120,6,0),""))&amp;""</f>
        <v/>
      </c>
      <c r="G93" s="217"/>
      <c r="H93" s="216" t="str">
        <f>IFERROR(IF($H92+1&gt;'(backend scoring)'!$Q$335,"",$H92+1),"")</f>
        <v/>
      </c>
      <c r="I93" s="216" t="str">
        <f>_xlfn.XLOOKUP($H93,'(backend scoring)'!$S$2:$S$333,'(backend scoring)'!$A$2:$A$333,"")</f>
        <v/>
      </c>
      <c r="J93" s="216" t="str">
        <f>IFERROR(VLOOKUP($I93,'Institution Evaluation'!$A$55:$F$346,2,0),IFERROR(VLOOKUP($I93,'Privacy Analyst Evaluation'!$A$46:$F$120,2,0),""))</f>
        <v/>
      </c>
      <c r="K93" s="216" t="str">
        <f>IFERROR(VLOOKUP($I93,'Institution Evaluation'!$A$55:$F$346,3,0),IFERROR(VLOOKUP($I93,'Privacy Analyst Evaluation'!$A$46:$F$120,3,0),""))&amp;""</f>
        <v/>
      </c>
      <c r="L93" s="216" t="str">
        <f>IFERROR(VLOOKUP($I93,'Institution Evaluation'!$A$55:$F$346,4,0),IFERROR(VLOOKUP($I93,'Privacy Analyst Evaluation'!$A$46:$F$120,4,0),""))&amp;""</f>
        <v/>
      </c>
      <c r="M93" s="216" t="str">
        <f>IFERROR(VLOOKUP($I93,'Institution Evaluation'!$A$55:$F$346,6,0),IFERROR(VLOOKUP($I93,'Privacy Analyst Evaluation'!$A$46:$F$120,6,0),""))&amp;""</f>
        <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row>
    <row r="94" spans="1:338" ht="75" x14ac:dyDescent="0.3">
      <c r="A94" s="216">
        <f>IFERROR(IF($A93+1&gt;'(backend scoring)'!$T$335,"",$A93+1),"")</f>
        <v>70</v>
      </c>
      <c r="B94" s="216" t="str">
        <f>_xlfn.XLOOKUP($A94,'(backend scoring)'!$V$2:$V$333,'(backend scoring)'!$A$2:$A$333,"")</f>
        <v>PDAT-03</v>
      </c>
      <c r="C94" s="216" t="str">
        <f>IFERROR(VLOOKUP($B94,'Institution Evaluation'!$A$55:$F$346,2,0),IFERROR(VLOOKUP($B94,'Privacy Analyst Evaluation'!$A$46:$F$120,2,0),""))&amp;""</f>
        <v>Do you combine institutional data (including "de-identified," "anonymized," or otherwise masked data) with personal data from any other sources?*</v>
      </c>
      <c r="D94" s="216" t="str">
        <f>IFERROR(VLOOKUP($B94,'Institution Evaluation'!$A$55:$F$346,3,0),IFERROR(VLOOKUP($B94,'Privacy Analyst Evaluation'!$A$46:$F$120,3,0),""))&amp;""</f>
        <v>No</v>
      </c>
      <c r="E94" s="216" t="str">
        <f>IFERROR(VLOOKUP($B94,'Institution Evaluation'!$A$55:$F$346,4,0),IFERROR(VLOOKUP($B94,'Privacy Analyst Evaluation'!$A$46:$F$120,4,0),""))&amp;""</f>
        <v/>
      </c>
      <c r="F94" s="216" t="str">
        <f>IFERROR(VLOOKUP($B94,'Institution Evaluation'!$A$55:$F$346,6,0),IFERROR(VLOOKUP($B94,'Privacy Analyst Evaluation'!$A$46:$F$120,6,0),""))&amp;""</f>
        <v/>
      </c>
      <c r="G94" s="217"/>
      <c r="H94" s="216" t="str">
        <f>IFERROR(IF($H93+1&gt;'(backend scoring)'!$Q$335,"",$H93+1),"")</f>
        <v/>
      </c>
      <c r="I94" s="216" t="str">
        <f>_xlfn.XLOOKUP($H94,'(backend scoring)'!$S$2:$S$333,'(backend scoring)'!$A$2:$A$333,"")</f>
        <v/>
      </c>
      <c r="J94" s="216" t="str">
        <f>IFERROR(VLOOKUP($I94,'Institution Evaluation'!$A$55:$F$346,2,0),IFERROR(VLOOKUP($I94,'Privacy Analyst Evaluation'!$A$46:$F$120,2,0),""))</f>
        <v/>
      </c>
      <c r="K94" s="216" t="str">
        <f>IFERROR(VLOOKUP($I94,'Institution Evaluation'!$A$55:$F$346,3,0),IFERROR(VLOOKUP($I94,'Privacy Analyst Evaluation'!$A$46:$F$120,3,0),""))&amp;""</f>
        <v/>
      </c>
      <c r="L94" s="216" t="str">
        <f>IFERROR(VLOOKUP($I94,'Institution Evaluation'!$A$55:$F$346,4,0),IFERROR(VLOOKUP($I94,'Privacy Analyst Evaluation'!$A$46:$F$120,4,0),""))&amp;""</f>
        <v/>
      </c>
      <c r="M94" s="216" t="str">
        <f>IFERROR(VLOOKUP($I94,'Institution Evaluation'!$A$55:$F$346,6,0),IFERROR(VLOOKUP($I94,'Privacy Analyst Evaluation'!$A$46:$F$120,6,0),""))&amp;""</f>
        <v/>
      </c>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row>
    <row r="95" spans="1:338" ht="30" x14ac:dyDescent="0.3">
      <c r="A95" s="216">
        <f>IFERROR(IF($A94+1&gt;'(backend scoring)'!$T$335,"",$A94+1),"")</f>
        <v>71</v>
      </c>
      <c r="B95" s="216" t="str">
        <f>_xlfn.XLOOKUP($A95,'(backend scoring)'!$V$2:$V$333,'(backend scoring)'!$A$2:$A$333,"")</f>
        <v>PRPO-06</v>
      </c>
      <c r="C95" s="216" t="str">
        <f>IFERROR(VLOOKUP($B95,'Institution Evaluation'!$A$55:$F$346,2,0),IFERROR(VLOOKUP($B95,'Privacy Analyst Evaluation'!$A$46:$F$120,2,0),""))&amp;""</f>
        <v>Do you have a privacy awareness/training program?*</v>
      </c>
      <c r="D95" s="216" t="str">
        <f>IFERROR(VLOOKUP($B95,'Institution Evaluation'!$A$55:$F$346,3,0),IFERROR(VLOOKUP($B95,'Privacy Analyst Evaluation'!$A$46:$F$120,3,0),""))&amp;""</f>
        <v>Yes</v>
      </c>
      <c r="E95" s="216" t="str">
        <f>IFERROR(VLOOKUP($B95,'Institution Evaluation'!$A$55:$F$346,4,0),IFERROR(VLOOKUP($B95,'Privacy Analyst Evaluation'!$A$46:$F$120,4,0),""))&amp;""</f>
        <v/>
      </c>
      <c r="F95" s="216" t="str">
        <f>IFERROR(VLOOKUP($B95,'Institution Evaluation'!$A$55:$F$346,6,0),IFERROR(VLOOKUP($B95,'Privacy Analyst Evaluation'!$A$46:$F$120,6,0),""))&amp;""</f>
        <v/>
      </c>
      <c r="G95" s="217"/>
      <c r="H95" s="216" t="str">
        <f>IFERROR(IF($H94+1&gt;'(backend scoring)'!$Q$335,"",$H94+1),"")</f>
        <v/>
      </c>
      <c r="I95" s="216" t="str">
        <f>_xlfn.XLOOKUP($H95,'(backend scoring)'!$S$2:$S$333,'(backend scoring)'!$A$2:$A$333,"")</f>
        <v/>
      </c>
      <c r="J95" s="216" t="str">
        <f>IFERROR(VLOOKUP($I95,'Institution Evaluation'!$A$55:$F$346,2,0),IFERROR(VLOOKUP($I95,'Privacy Analyst Evaluation'!$A$46:$F$120,2,0),""))</f>
        <v/>
      </c>
      <c r="K95" s="216" t="str">
        <f>IFERROR(VLOOKUP($I95,'Institution Evaluation'!$A$55:$F$346,3,0),IFERROR(VLOOKUP($I95,'Privacy Analyst Evaluation'!$A$46:$F$120,3,0),""))&amp;""</f>
        <v/>
      </c>
      <c r="L95" s="216" t="str">
        <f>IFERROR(VLOOKUP($I95,'Institution Evaluation'!$A$55:$F$346,4,0),IFERROR(VLOOKUP($I95,'Privacy Analyst Evaluation'!$A$46:$F$120,4,0),""))&amp;""</f>
        <v/>
      </c>
      <c r="M95" s="216" t="str">
        <f>IFERROR(VLOOKUP($I95,'Institution Evaluation'!$A$55:$F$346,6,0),IFERROR(VLOOKUP($I95,'Privacy Analyst Evaluation'!$A$46:$F$120,6,0),""))&amp;""</f>
        <v/>
      </c>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row>
    <row r="96" spans="1:338" ht="45" x14ac:dyDescent="0.3">
      <c r="A96" s="216">
        <f>IFERROR(IF($A95+1&gt;'(backend scoring)'!$T$335,"",$A95+1),"")</f>
        <v>72</v>
      </c>
      <c r="B96" s="216" t="str">
        <f>_xlfn.XLOOKUP($A96,'(backend scoring)'!$V$2:$V$333,'(backend scoring)'!$A$2:$A$333,"")</f>
        <v>PRPO-12</v>
      </c>
      <c r="C96" s="216" t="str">
        <f>IFERROR(VLOOKUP($B96,'Institution Evaluation'!$A$55:$F$346,2,0),IFERROR(VLOOKUP($B96,'Privacy Analyst Evaluation'!$A$46:$F$120,2,0),""))&amp;""</f>
        <v>Do you share any institutional data with law enforcement without a valid warrant?*</v>
      </c>
      <c r="D96" s="216" t="str">
        <f>IFERROR(VLOOKUP($B96,'Institution Evaluation'!$A$55:$F$346,3,0),IFERROR(VLOOKUP($B96,'Privacy Analyst Evaluation'!$A$46:$F$120,3,0),""))&amp;""</f>
        <v>No</v>
      </c>
      <c r="E96" s="216" t="str">
        <f>IFERROR(VLOOKUP($B96,'Institution Evaluation'!$A$55:$F$346,4,0),IFERROR(VLOOKUP($B96,'Privacy Analyst Evaluation'!$A$46:$F$120,4,0),""))&amp;""</f>
        <v/>
      </c>
      <c r="F96" s="216" t="str">
        <f>IFERROR(VLOOKUP($B96,'Institution Evaluation'!$A$55:$F$346,6,0),IFERROR(VLOOKUP($B96,'Privacy Analyst Evaluation'!$A$46:$F$120,6,0),""))&amp;""</f>
        <v/>
      </c>
      <c r="G96" s="217"/>
      <c r="H96" s="216" t="str">
        <f>IFERROR(IF($H95+1&gt;'(backend scoring)'!$Q$335,"",$H95+1),"")</f>
        <v/>
      </c>
      <c r="I96" s="216" t="str">
        <f>_xlfn.XLOOKUP($H96,'(backend scoring)'!$S$2:$S$333,'(backend scoring)'!$A$2:$A$333,"")</f>
        <v/>
      </c>
      <c r="J96" s="216" t="str">
        <f>IFERROR(VLOOKUP($I96,'Institution Evaluation'!$A$55:$F$346,2,0),IFERROR(VLOOKUP($I96,'Privacy Analyst Evaluation'!$A$46:$F$120,2,0),""))</f>
        <v/>
      </c>
      <c r="K96" s="216" t="str">
        <f>IFERROR(VLOOKUP($I96,'Institution Evaluation'!$A$55:$F$346,3,0),IFERROR(VLOOKUP($I96,'Privacy Analyst Evaluation'!$A$46:$F$120,3,0),""))&amp;""</f>
        <v/>
      </c>
      <c r="L96" s="216" t="str">
        <f>IFERROR(VLOOKUP($I96,'Institution Evaluation'!$A$55:$F$346,4,0),IFERROR(VLOOKUP($I96,'Privacy Analyst Evaluation'!$A$46:$F$120,4,0),""))&amp;""</f>
        <v/>
      </c>
      <c r="M96" s="216" t="str">
        <f>IFERROR(VLOOKUP($I96,'Institution Evaluation'!$A$55:$F$346,6,0),IFERROR(VLOOKUP($I96,'Privacy Analyst Evaluation'!$A$46:$F$120,6,0),""))&amp;""</f>
        <v/>
      </c>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row>
    <row r="97" spans="1:338" ht="30" x14ac:dyDescent="0.3">
      <c r="A97" s="216">
        <f>IFERROR(IF($A96+1&gt;'(backend scoring)'!$T$335,"",$A96+1),"")</f>
        <v>73</v>
      </c>
      <c r="B97" s="216" t="str">
        <f>_xlfn.XLOOKUP($A97,'(backend scoring)'!$V$2:$V$333,'(backend scoring)'!$A$2:$A$333,"")</f>
        <v>DPAI-02</v>
      </c>
      <c r="C97" s="216" t="str">
        <f>IFERROR(VLOOKUP($B97,'Institution Evaluation'!$A$55:$F$346,2,0),IFERROR(VLOOKUP($B97,'Privacy Analyst Evaluation'!$A$46:$F$120,2,0),""))&amp;""</f>
        <v>Is any institutional data retained in AI processing?*</v>
      </c>
      <c r="D97" s="216" t="str">
        <f>IFERROR(VLOOKUP($B97,'Institution Evaluation'!$A$55:$F$346,3,0),IFERROR(VLOOKUP($B97,'Privacy Analyst Evaluation'!$A$46:$F$120,3,0),""))&amp;""</f>
        <v/>
      </c>
      <c r="E97" s="216" t="str">
        <f>IFERROR(VLOOKUP($B97,'Institution Evaluation'!$A$55:$F$346,4,0),IFERROR(VLOOKUP($B97,'Privacy Analyst Evaluation'!$A$46:$F$120,4,0),""))&amp;""</f>
        <v>Not applicable.</v>
      </c>
      <c r="F97" s="216" t="str">
        <f>IFERROR(VLOOKUP($B97,'Institution Evaluation'!$A$55:$F$346,6,0),IFERROR(VLOOKUP($B97,'Privacy Analyst Evaluation'!$A$46:$F$120,6,0),""))&amp;""</f>
        <v/>
      </c>
      <c r="G97" s="217"/>
      <c r="H97" s="216" t="str">
        <f>IFERROR(IF($H96+1&gt;'(backend scoring)'!$Q$335,"",$H96+1),"")</f>
        <v/>
      </c>
      <c r="I97" s="216" t="str">
        <f>_xlfn.XLOOKUP($H97,'(backend scoring)'!$S$2:$S$333,'(backend scoring)'!$A$2:$A$333,"")</f>
        <v/>
      </c>
      <c r="J97" s="216" t="str">
        <f>IFERROR(VLOOKUP($I97,'Institution Evaluation'!$A$55:$F$346,2,0),IFERROR(VLOOKUP($I97,'Privacy Analyst Evaluation'!$A$46:$F$120,2,0),""))</f>
        <v/>
      </c>
      <c r="K97" s="216" t="str">
        <f>IFERROR(VLOOKUP($I97,'Institution Evaluation'!$A$55:$F$346,3,0),IFERROR(VLOOKUP($I97,'Privacy Analyst Evaluation'!$A$46:$F$120,3,0),""))&amp;""</f>
        <v/>
      </c>
      <c r="L97" s="216" t="str">
        <f>IFERROR(VLOOKUP($I97,'Institution Evaluation'!$A$55:$F$346,4,0),IFERROR(VLOOKUP($I97,'Privacy Analyst Evaluation'!$A$46:$F$120,4,0),""))&amp;""</f>
        <v/>
      </c>
      <c r="M97" s="216" t="str">
        <f>IFERROR(VLOOKUP($I97,'Institution Evaluation'!$A$55:$F$346,6,0),IFERROR(VLOOKUP($I97,'Privacy Analyst Evaluation'!$A$46:$F$120,6,0),""))&amp;""</f>
        <v/>
      </c>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row>
    <row r="98" spans="1:338" ht="75" x14ac:dyDescent="0.3">
      <c r="A98" s="216">
        <f>IFERROR(IF($A97+1&gt;'(backend scoring)'!$T$335,"",$A97+1),"")</f>
        <v>74</v>
      </c>
      <c r="B98" s="216" t="str">
        <f>_xlfn.XLOOKUP($A98,'(backend scoring)'!$V$2:$V$333,'(backend scoring)'!$A$2:$A$333,"")</f>
        <v>DPAI-03</v>
      </c>
      <c r="C98" s="216" t="str">
        <f>IFERROR(VLOOKUP($B98,'Institution Evaluation'!$A$55:$F$346,2,0),IFERROR(VLOOKUP($B98,'Privacy Analyst Evaluation'!$A$46:$F$120,2,0),""))&amp;""</f>
        <v>Do you have agreements in place with third parties or subprocessors regarding the protection of customer data and use of AI?*</v>
      </c>
      <c r="D98" s="216" t="str">
        <f>IFERROR(VLOOKUP($B98,'Institution Evaluation'!$A$55:$F$346,3,0),IFERROR(VLOOKUP($B98,'Privacy Analyst Evaluation'!$A$46:$F$120,3,0),""))&amp;""</f>
        <v/>
      </c>
      <c r="E98" s="216" t="str">
        <f>IFERROR(VLOOKUP($B98,'Institution Evaluation'!$A$55:$F$346,4,0),IFERROR(VLOOKUP($B98,'Privacy Analyst Evaluation'!$A$46:$F$120,4,0),""))&amp;""</f>
        <v>Not applicable.</v>
      </c>
      <c r="F98" s="216" t="str">
        <f>IFERROR(VLOOKUP($B98,'Institution Evaluation'!$A$55:$F$346,6,0),IFERROR(VLOOKUP($B98,'Privacy Analyst Evaluation'!$A$46:$F$120,6,0),""))&amp;""</f>
        <v/>
      </c>
      <c r="G98" s="217"/>
      <c r="H98" s="216" t="str">
        <f>IFERROR(IF($H97+1&gt;'(backend scoring)'!$Q$335,"",$H97+1),"")</f>
        <v/>
      </c>
      <c r="I98" s="216" t="str">
        <f>_xlfn.XLOOKUP($H98,'(backend scoring)'!$S$2:$S$333,'(backend scoring)'!$A$2:$A$333,"")</f>
        <v/>
      </c>
      <c r="J98" s="216" t="str">
        <f>IFERROR(VLOOKUP($I98,'Institution Evaluation'!$A$55:$F$346,2,0),IFERROR(VLOOKUP($I98,'Privacy Analyst Evaluation'!$A$46:$F$120,2,0),""))</f>
        <v/>
      </c>
      <c r="K98" s="216" t="str">
        <f>IFERROR(VLOOKUP($I98,'Institution Evaluation'!$A$55:$F$346,3,0),IFERROR(VLOOKUP($I98,'Privacy Analyst Evaluation'!$A$46:$F$120,3,0),""))&amp;""</f>
        <v/>
      </c>
      <c r="L98" s="216" t="str">
        <f>IFERROR(VLOOKUP($I98,'Institution Evaluation'!$A$55:$F$346,4,0),IFERROR(VLOOKUP($I98,'Privacy Analyst Evaluation'!$A$46:$F$120,4,0),""))&amp;""</f>
        <v/>
      </c>
      <c r="M98" s="216" t="str">
        <f>IFERROR(VLOOKUP($I98,'Institution Evaluation'!$A$55:$F$346,6,0),IFERROR(VLOOKUP($I98,'Privacy Analyst Evaluation'!$A$46:$F$120,6,0),""))&amp;""</f>
        <v/>
      </c>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row>
    <row r="99" spans="1:338" ht="60" x14ac:dyDescent="0.3">
      <c r="A99" s="216">
        <f>IFERROR(IF($A98+1&gt;'(backend scoring)'!$T$335,"",$A98+1),"")</f>
        <v>75</v>
      </c>
      <c r="B99" s="216" t="str">
        <f>_xlfn.XLOOKUP($A99,'(backend scoring)'!$V$2:$V$333,'(backend scoring)'!$A$2:$A$333,"")</f>
        <v>AIGN-01</v>
      </c>
      <c r="C99" s="216" t="str">
        <f>IFERROR(VLOOKUP($B99,'Institution Evaluation'!$A$55:$F$346,2,0),IFERROR(VLOOKUP($B99,'Privacy Analyst Evaluation'!$A$46:$F$120,2,0),""))&amp;""</f>
        <v>Does your solution have an AI risk model when developing or implementing your solution's AI model?*</v>
      </c>
      <c r="D99" s="216" t="str">
        <f>IFERROR(VLOOKUP($B99,'Institution Evaluation'!$A$55:$F$346,3,0),IFERROR(VLOOKUP($B99,'Privacy Analyst Evaluation'!$A$46:$F$120,3,0),""))&amp;""</f>
        <v/>
      </c>
      <c r="E99" s="216" t="str">
        <f>IFERROR(VLOOKUP($B99,'Institution Evaluation'!$A$55:$F$346,4,0),IFERROR(VLOOKUP($B99,'Privacy Analyst Evaluation'!$A$46:$F$120,4,0),""))&amp;""</f>
        <v/>
      </c>
      <c r="F99" s="216" t="str">
        <f>IFERROR(VLOOKUP($B99,'Institution Evaluation'!$A$55:$F$346,6,0),IFERROR(VLOOKUP($B99,'Privacy Analyst Evaluation'!$A$46:$F$120,6,0),""))&amp;""</f>
        <v/>
      </c>
      <c r="G99" s="217"/>
      <c r="H99" s="216" t="str">
        <f>IFERROR(IF($H98+1&gt;'(backend scoring)'!$Q$335,"",$H98+1),"")</f>
        <v/>
      </c>
      <c r="I99" s="216" t="str">
        <f>_xlfn.XLOOKUP($H99,'(backend scoring)'!$S$2:$S$333,'(backend scoring)'!$A$2:$A$333,"")</f>
        <v/>
      </c>
      <c r="J99" s="216" t="str">
        <f>IFERROR(VLOOKUP($I99,'Institution Evaluation'!$A$55:$F$346,2,0),IFERROR(VLOOKUP($I99,'Privacy Analyst Evaluation'!$A$46:$F$120,2,0),""))</f>
        <v/>
      </c>
      <c r="K99" s="216" t="str">
        <f>IFERROR(VLOOKUP($I99,'Institution Evaluation'!$A$55:$F$346,3,0),IFERROR(VLOOKUP($I99,'Privacy Analyst Evaluation'!$A$46:$F$120,3,0),""))&amp;""</f>
        <v/>
      </c>
      <c r="L99" s="216" t="str">
        <f>IFERROR(VLOOKUP($I99,'Institution Evaluation'!$A$55:$F$346,4,0),IFERROR(VLOOKUP($I99,'Privacy Analyst Evaluation'!$A$46:$F$120,4,0),""))&amp;""</f>
        <v/>
      </c>
      <c r="M99" s="216" t="str">
        <f>IFERROR(VLOOKUP($I99,'Institution Evaluation'!$A$55:$F$346,6,0),IFERROR(VLOOKUP($I99,'Privacy Analyst Evaluation'!$A$46:$F$120,6,0),""))&amp;""</f>
        <v/>
      </c>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row>
    <row r="100" spans="1:338" ht="45" x14ac:dyDescent="0.3">
      <c r="A100" s="216">
        <f>IFERROR(IF($A99+1&gt;'(backend scoring)'!$T$335,"",$A99+1),"")</f>
        <v>76</v>
      </c>
      <c r="B100" s="216" t="str">
        <f>_xlfn.XLOOKUP($A100,'(backend scoring)'!$V$2:$V$333,'(backend scoring)'!$A$2:$A$333,"")</f>
        <v>AIGN-02</v>
      </c>
      <c r="C100" s="216" t="str">
        <f>IFERROR(VLOOKUP($B100,'Institution Evaluation'!$A$55:$F$346,2,0),IFERROR(VLOOKUP($B100,'Privacy Analyst Evaluation'!$A$46:$F$120,2,0),""))&amp;""</f>
        <v>Can your solution's AI features be disabled by tenant and/or user?*</v>
      </c>
      <c r="D100" s="216" t="str">
        <f>IFERROR(VLOOKUP($B100,'Institution Evaluation'!$A$55:$F$346,3,0),IFERROR(VLOOKUP($B100,'Privacy Analyst Evaluation'!$A$46:$F$120,3,0),""))&amp;""</f>
        <v/>
      </c>
      <c r="E100" s="216" t="str">
        <f>IFERROR(VLOOKUP($B100,'Institution Evaluation'!$A$55:$F$346,4,0),IFERROR(VLOOKUP($B100,'Privacy Analyst Evaluation'!$A$46:$F$120,4,0),""))&amp;""</f>
        <v/>
      </c>
      <c r="F100" s="216" t="str">
        <f>IFERROR(VLOOKUP($B100,'Institution Evaluation'!$A$55:$F$346,6,0),IFERROR(VLOOKUP($B100,'Privacy Analyst Evaluation'!$A$46:$F$120,6,0),""))&amp;""</f>
        <v/>
      </c>
      <c r="G100" s="217"/>
      <c r="H100" s="216" t="str">
        <f>IFERROR(IF($H99+1&gt;'(backend scoring)'!$Q$335,"",$H99+1),"")</f>
        <v/>
      </c>
      <c r="I100" s="216" t="str">
        <f>_xlfn.XLOOKUP($H100,'(backend scoring)'!$S$2:$S$333,'(backend scoring)'!$A$2:$A$333,"")</f>
        <v/>
      </c>
      <c r="J100" s="216" t="str">
        <f>IFERROR(VLOOKUP($I100,'Institution Evaluation'!$A$55:$F$346,2,0),IFERROR(VLOOKUP($I100,'Privacy Analyst Evaluation'!$A$46:$F$120,2,0),""))</f>
        <v/>
      </c>
      <c r="K100" s="216" t="str">
        <f>IFERROR(VLOOKUP($I100,'Institution Evaluation'!$A$55:$F$346,3,0),IFERROR(VLOOKUP($I100,'Privacy Analyst Evaluation'!$A$46:$F$120,3,0),""))&amp;""</f>
        <v/>
      </c>
      <c r="L100" s="216" t="str">
        <f>IFERROR(VLOOKUP($I100,'Institution Evaluation'!$A$55:$F$346,4,0),IFERROR(VLOOKUP($I100,'Privacy Analyst Evaluation'!$A$46:$F$120,4,0),""))&amp;""</f>
        <v/>
      </c>
      <c r="M100" s="216" t="str">
        <f>IFERROR(VLOOKUP($I100,'Institution Evaluation'!$A$55:$F$346,6,0),IFERROR(VLOOKUP($I100,'Privacy Analyst Evaluation'!$A$46:$F$120,6,0),""))&amp;""</f>
        <v/>
      </c>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row>
    <row r="101" spans="1:338" ht="30" x14ac:dyDescent="0.3">
      <c r="A101" s="216">
        <f>IFERROR(IF($A100+1&gt;'(backend scoring)'!$T$335,"",$A100+1),"")</f>
        <v>77</v>
      </c>
      <c r="B101" s="216" t="str">
        <f>_xlfn.XLOOKUP($A101,'(backend scoring)'!$V$2:$V$333,'(backend scoring)'!$A$2:$A$333,"")</f>
        <v>AIGN-03</v>
      </c>
      <c r="C101" s="216" t="str">
        <f>IFERROR(VLOOKUP($B101,'Institution Evaluation'!$A$55:$F$346,2,0),IFERROR(VLOOKUP($B101,'Privacy Analyst Evaluation'!$A$46:$F$120,2,0),""))&amp;""</f>
        <v>Have your staff completed responsible AI training?*</v>
      </c>
      <c r="D101" s="216" t="str">
        <f>IFERROR(VLOOKUP($B101,'Institution Evaluation'!$A$55:$F$346,3,0),IFERROR(VLOOKUP($B101,'Privacy Analyst Evaluation'!$A$46:$F$120,3,0),""))&amp;""</f>
        <v/>
      </c>
      <c r="E101" s="216" t="str">
        <f>IFERROR(VLOOKUP($B101,'Institution Evaluation'!$A$55:$F$346,4,0),IFERROR(VLOOKUP($B101,'Privacy Analyst Evaluation'!$A$46:$F$120,4,0),""))&amp;""</f>
        <v/>
      </c>
      <c r="F101" s="216" t="str">
        <f>IFERROR(VLOOKUP($B101,'Institution Evaluation'!$A$55:$F$346,6,0),IFERROR(VLOOKUP($B101,'Privacy Analyst Evaluation'!$A$46:$F$120,6,0),""))&amp;""</f>
        <v/>
      </c>
      <c r="G101" s="217"/>
      <c r="H101" s="216" t="str">
        <f>IFERROR(IF($H100+1&gt;'(backend scoring)'!$Q$335,"",$H100+1),"")</f>
        <v/>
      </c>
      <c r="I101" s="216" t="str">
        <f>_xlfn.XLOOKUP($H101,'(backend scoring)'!$S$2:$S$333,'(backend scoring)'!$A$2:$A$333,"")</f>
        <v/>
      </c>
      <c r="J101" s="216" t="str">
        <f>IFERROR(VLOOKUP($I101,'Institution Evaluation'!$A$55:$F$346,2,0),IFERROR(VLOOKUP($I101,'Privacy Analyst Evaluation'!$A$46:$F$120,2,0),""))</f>
        <v/>
      </c>
      <c r="K101" s="216" t="str">
        <f>IFERROR(VLOOKUP($I101,'Institution Evaluation'!$A$55:$F$346,3,0),IFERROR(VLOOKUP($I101,'Privacy Analyst Evaluation'!$A$46:$F$120,3,0),""))&amp;""</f>
        <v/>
      </c>
      <c r="L101" s="216" t="str">
        <f>IFERROR(VLOOKUP($I101,'Institution Evaluation'!$A$55:$F$346,4,0),IFERROR(VLOOKUP($I101,'Privacy Analyst Evaluation'!$A$46:$F$120,4,0),""))&amp;""</f>
        <v/>
      </c>
      <c r="M101" s="216" t="str">
        <f>IFERROR(VLOOKUP($I101,'Institution Evaluation'!$A$55:$F$346,6,0),IFERROR(VLOOKUP($I101,'Privacy Analyst Evaluation'!$A$46:$F$120,6,0),""))&amp;""</f>
        <v/>
      </c>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row>
    <row r="102" spans="1:338" ht="120" x14ac:dyDescent="0.3">
      <c r="A102" s="216">
        <f>IFERROR(IF($A101+1&gt;'(backend scoring)'!$T$335,"",$A101+1),"")</f>
        <v>78</v>
      </c>
      <c r="B102" s="216" t="str">
        <f>_xlfn.XLOOKUP($A102,'(backend scoring)'!$V$2:$V$333,'(backend scoring)'!$A$2:$A$333,"")</f>
        <v>AIPL-01</v>
      </c>
      <c r="C102" s="216" t="str">
        <f>IFERROR(VLOOKUP($B102,'Institution Evaluation'!$A$55:$F$346,2,0),IFERROR(VLOOKUP($B102,'Privacy Analyst Evaluation'!$A$46:$F$120,2,0),""))&amp;""</f>
        <v>Are your AI developer's policies, processes, procedures, and practices across the organization related to the mapping, measuring, and managing of AI risks conspicuously posted, unambiguous, and implemented effectively?*</v>
      </c>
      <c r="D102" s="216" t="str">
        <f>IFERROR(VLOOKUP($B102,'Institution Evaluation'!$A$55:$F$346,3,0),IFERROR(VLOOKUP($B102,'Privacy Analyst Evaluation'!$A$46:$F$120,3,0),""))&amp;""</f>
        <v/>
      </c>
      <c r="E102" s="216" t="str">
        <f>IFERROR(VLOOKUP($B102,'Institution Evaluation'!$A$55:$F$346,4,0),IFERROR(VLOOKUP($B102,'Privacy Analyst Evaluation'!$A$46:$F$120,4,0),""))&amp;""</f>
        <v/>
      </c>
      <c r="F102" s="216" t="str">
        <f>IFERROR(VLOOKUP($B102,'Institution Evaluation'!$A$55:$F$346,6,0),IFERROR(VLOOKUP($B102,'Privacy Analyst Evaluation'!$A$46:$F$120,6,0),""))&amp;""</f>
        <v/>
      </c>
      <c r="G102" s="217"/>
      <c r="H102" s="216" t="str">
        <f>IFERROR(IF($H101+1&gt;'(backend scoring)'!$Q$335,"",$H101+1),"")</f>
        <v/>
      </c>
      <c r="I102" s="216" t="str">
        <f>_xlfn.XLOOKUP($H102,'(backend scoring)'!$S$2:$S$333,'(backend scoring)'!$A$2:$A$333,"")</f>
        <v/>
      </c>
      <c r="J102" s="216" t="str">
        <f>IFERROR(VLOOKUP($I102,'Institution Evaluation'!$A$55:$F$346,2,0),IFERROR(VLOOKUP($I102,'Privacy Analyst Evaluation'!$A$46:$F$120,2,0),""))</f>
        <v/>
      </c>
      <c r="K102" s="216" t="str">
        <f>IFERROR(VLOOKUP($I102,'Institution Evaluation'!$A$55:$F$346,3,0),IFERROR(VLOOKUP($I102,'Privacy Analyst Evaluation'!$A$46:$F$120,3,0),""))&amp;""</f>
        <v/>
      </c>
      <c r="L102" s="216" t="str">
        <f>IFERROR(VLOOKUP($I102,'Institution Evaluation'!$A$55:$F$346,4,0),IFERROR(VLOOKUP($I102,'Privacy Analyst Evaluation'!$A$46:$F$120,4,0),""))&amp;""</f>
        <v/>
      </c>
      <c r="M102" s="216" t="str">
        <f>IFERROR(VLOOKUP($I102,'Institution Evaluation'!$A$55:$F$346,6,0),IFERROR(VLOOKUP($I102,'Privacy Analyst Evaluation'!$A$46:$F$120,6,0),""))&amp;""</f>
        <v/>
      </c>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row>
    <row r="103" spans="1:338" ht="30" x14ac:dyDescent="0.3">
      <c r="A103" s="216">
        <f>IFERROR(IF($A102+1&gt;'(backend scoring)'!$T$335,"",$A102+1),"")</f>
        <v>79</v>
      </c>
      <c r="B103" s="216" t="str">
        <f>_xlfn.XLOOKUP($A103,'(backend scoring)'!$V$2:$V$333,'(backend scoring)'!$A$2:$A$333,"")</f>
        <v>AIPL-02</v>
      </c>
      <c r="C103" s="216" t="str">
        <f>IFERROR(VLOOKUP($B103,'Institution Evaluation'!$A$55:$F$346,2,0),IFERROR(VLOOKUP($B103,'Privacy Analyst Evaluation'!$A$46:$F$120,2,0),""))&amp;""</f>
        <v>Have you identified and measured AI risks?*</v>
      </c>
      <c r="D103" s="216" t="str">
        <f>IFERROR(VLOOKUP($B103,'Institution Evaluation'!$A$55:$F$346,3,0),IFERROR(VLOOKUP($B103,'Privacy Analyst Evaluation'!$A$46:$F$120,3,0),""))&amp;""</f>
        <v/>
      </c>
      <c r="E103" s="216" t="str">
        <f>IFERROR(VLOOKUP($B103,'Institution Evaluation'!$A$55:$F$346,4,0),IFERROR(VLOOKUP($B103,'Privacy Analyst Evaluation'!$A$46:$F$120,4,0),""))&amp;""</f>
        <v/>
      </c>
      <c r="F103" s="216" t="str">
        <f>IFERROR(VLOOKUP($B103,'Institution Evaluation'!$A$55:$F$346,6,0),IFERROR(VLOOKUP($B103,'Privacy Analyst Evaluation'!$A$46:$F$120,6,0),""))&amp;""</f>
        <v/>
      </c>
      <c r="G103" s="217"/>
      <c r="H103" s="216" t="str">
        <f>IFERROR(IF($H102+1&gt;'(backend scoring)'!$Q$335,"",$H102+1),"")</f>
        <v/>
      </c>
      <c r="I103" s="216" t="str">
        <f>_xlfn.XLOOKUP($H103,'(backend scoring)'!$S$2:$S$333,'(backend scoring)'!$A$2:$A$333,"")</f>
        <v/>
      </c>
      <c r="J103" s="216" t="str">
        <f>IFERROR(VLOOKUP($I103,'Institution Evaluation'!$A$55:$F$346,2,0),IFERROR(VLOOKUP($I103,'Privacy Analyst Evaluation'!$A$46:$F$120,2,0),""))</f>
        <v/>
      </c>
      <c r="K103" s="216" t="str">
        <f>IFERROR(VLOOKUP($I103,'Institution Evaluation'!$A$55:$F$346,3,0),IFERROR(VLOOKUP($I103,'Privacy Analyst Evaluation'!$A$46:$F$120,3,0),""))&amp;""</f>
        <v/>
      </c>
      <c r="L103" s="216" t="str">
        <f>IFERROR(VLOOKUP($I103,'Institution Evaluation'!$A$55:$F$346,4,0),IFERROR(VLOOKUP($I103,'Privacy Analyst Evaluation'!$A$46:$F$120,4,0),""))&amp;""</f>
        <v/>
      </c>
      <c r="M103" s="216" t="str">
        <f>IFERROR(VLOOKUP($I103,'Institution Evaluation'!$A$55:$F$346,6,0),IFERROR(VLOOKUP($I103,'Privacy Analyst Evaluation'!$A$46:$F$120,6,0),""))&amp;""</f>
        <v/>
      </c>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row>
    <row r="104" spans="1:338" ht="45" x14ac:dyDescent="0.3">
      <c r="A104" s="216">
        <f>IFERROR(IF($A103+1&gt;'(backend scoring)'!$T$335,"",$A103+1),"")</f>
        <v>80</v>
      </c>
      <c r="B104" s="216" t="str">
        <f>_xlfn.XLOOKUP($A104,'(backend scoring)'!$V$2:$V$333,'(backend scoring)'!$A$2:$A$333,"")</f>
        <v>AIPL-03</v>
      </c>
      <c r="C104" s="216" t="str">
        <f>IFERROR(VLOOKUP($B104,'Institution Evaluation'!$A$55:$F$346,2,0),IFERROR(VLOOKUP($B104,'Privacy Analyst Evaluation'!$A$46:$F$120,2,0),""))&amp;""</f>
        <v>In the event of an incident, can your solution's AI features be disabled in a timely manner?*</v>
      </c>
      <c r="D104" s="216" t="str">
        <f>IFERROR(VLOOKUP($B104,'Institution Evaluation'!$A$55:$F$346,3,0),IFERROR(VLOOKUP($B104,'Privacy Analyst Evaluation'!$A$46:$F$120,3,0),""))&amp;""</f>
        <v/>
      </c>
      <c r="E104" s="216" t="str">
        <f>IFERROR(VLOOKUP($B104,'Institution Evaluation'!$A$55:$F$346,4,0),IFERROR(VLOOKUP($B104,'Privacy Analyst Evaluation'!$A$46:$F$120,4,0),""))&amp;""</f>
        <v/>
      </c>
      <c r="F104" s="216" t="str">
        <f>IFERROR(VLOOKUP($B104,'Institution Evaluation'!$A$55:$F$346,6,0),IFERROR(VLOOKUP($B104,'Privacy Analyst Evaluation'!$A$46:$F$120,6,0),""))&amp;""</f>
        <v/>
      </c>
      <c r="G104" s="217"/>
      <c r="H104" s="216" t="str">
        <f>IFERROR(IF($H103+1&gt;'(backend scoring)'!$Q$335,"",$H103+1),"")</f>
        <v/>
      </c>
      <c r="I104" s="216" t="str">
        <f>_xlfn.XLOOKUP($H104,'(backend scoring)'!$S$2:$S$333,'(backend scoring)'!$A$2:$A$333,"")</f>
        <v/>
      </c>
      <c r="J104" s="216" t="str">
        <f>IFERROR(VLOOKUP($I104,'Institution Evaluation'!$A$55:$F$346,2,0),IFERROR(VLOOKUP($I104,'Privacy Analyst Evaluation'!$A$46:$F$120,2,0),""))</f>
        <v/>
      </c>
      <c r="K104" s="216" t="str">
        <f>IFERROR(VLOOKUP($I104,'Institution Evaluation'!$A$55:$F$346,3,0),IFERROR(VLOOKUP($I104,'Privacy Analyst Evaluation'!$A$46:$F$120,3,0),""))&amp;""</f>
        <v/>
      </c>
      <c r="L104" s="216" t="str">
        <f>IFERROR(VLOOKUP($I104,'Institution Evaluation'!$A$55:$F$346,4,0),IFERROR(VLOOKUP($I104,'Privacy Analyst Evaluation'!$A$46:$F$120,4,0),""))&amp;""</f>
        <v/>
      </c>
      <c r="M104" s="216" t="str">
        <f>IFERROR(VLOOKUP($I104,'Institution Evaluation'!$A$55:$F$346,6,0),IFERROR(VLOOKUP($I104,'Privacy Analyst Evaluation'!$A$46:$F$120,6,0),""))&amp;""</f>
        <v/>
      </c>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row>
    <row r="105" spans="1:338" ht="60" x14ac:dyDescent="0.3">
      <c r="A105" s="216">
        <f>IFERROR(IF($A104+1&gt;'(backend scoring)'!$T$335,"",$A104+1),"")</f>
        <v>81</v>
      </c>
      <c r="B105" s="216" t="str">
        <f>_xlfn.XLOOKUP($A105,'(backend scoring)'!$V$2:$V$333,'(backend scoring)'!$A$2:$A$333,"")</f>
        <v>AIPL-04</v>
      </c>
      <c r="C105" s="216" t="str">
        <f>IFERROR(VLOOKUP($B105,'Institution Evaluation'!$A$55:$F$346,2,0),IFERROR(VLOOKUP($B105,'Privacy Analyst Evaluation'!$A$46:$F$120,2,0),""))&amp;""</f>
        <v>If disabled because of an incident, can your solution's AI features be re-enabled in a timely manner?*</v>
      </c>
      <c r="D105" s="216" t="str">
        <f>IFERROR(VLOOKUP($B105,'Institution Evaluation'!$A$55:$F$346,3,0),IFERROR(VLOOKUP($B105,'Privacy Analyst Evaluation'!$A$46:$F$120,3,0),""))&amp;""</f>
        <v/>
      </c>
      <c r="E105" s="216" t="str">
        <f>IFERROR(VLOOKUP($B105,'Institution Evaluation'!$A$55:$F$346,4,0),IFERROR(VLOOKUP($B105,'Privacy Analyst Evaluation'!$A$46:$F$120,4,0),""))&amp;""</f>
        <v/>
      </c>
      <c r="F105" s="216" t="str">
        <f>IFERROR(VLOOKUP($B105,'Institution Evaluation'!$A$55:$F$346,6,0),IFERROR(VLOOKUP($B105,'Privacy Analyst Evaluation'!$A$46:$F$120,6,0),""))&amp;""</f>
        <v/>
      </c>
      <c r="G105" s="217"/>
      <c r="H105" s="216" t="str">
        <f>IFERROR(IF($H104+1&gt;'(backend scoring)'!$Q$335,"",$H104+1),"")</f>
        <v/>
      </c>
      <c r="I105" s="216" t="str">
        <f>_xlfn.XLOOKUP($H105,'(backend scoring)'!$S$2:$S$333,'(backend scoring)'!$A$2:$A$333,"")</f>
        <v/>
      </c>
      <c r="J105" s="216" t="str">
        <f>IFERROR(VLOOKUP($I105,'Institution Evaluation'!$A$55:$F$346,2,0),IFERROR(VLOOKUP($I105,'Privacy Analyst Evaluation'!$A$46:$F$120,2,0),""))</f>
        <v/>
      </c>
      <c r="K105" s="216" t="str">
        <f>IFERROR(VLOOKUP($I105,'Institution Evaluation'!$A$55:$F$346,3,0),IFERROR(VLOOKUP($I105,'Privacy Analyst Evaluation'!$A$46:$F$120,3,0),""))&amp;""</f>
        <v/>
      </c>
      <c r="L105" s="216" t="str">
        <f>IFERROR(VLOOKUP($I105,'Institution Evaluation'!$A$55:$F$346,4,0),IFERROR(VLOOKUP($I105,'Privacy Analyst Evaluation'!$A$46:$F$120,4,0),""))&amp;""</f>
        <v/>
      </c>
      <c r="M105" s="216" t="str">
        <f>IFERROR(VLOOKUP($I105,'Institution Evaluation'!$A$55:$F$346,6,0),IFERROR(VLOOKUP($I105,'Privacy Analyst Evaluation'!$A$46:$F$120,6,0),""))&amp;""</f>
        <v/>
      </c>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row>
    <row r="106" spans="1:338" ht="60" x14ac:dyDescent="0.3">
      <c r="A106" s="216">
        <f>IFERROR(IF($A105+1&gt;'(backend scoring)'!$T$335,"",$A105+1),"")</f>
        <v>82</v>
      </c>
      <c r="B106" s="216" t="str">
        <f>_xlfn.XLOOKUP($A106,'(backend scoring)'!$V$2:$V$333,'(backend scoring)'!$A$2:$A$333,"")</f>
        <v>AISC-01</v>
      </c>
      <c r="C106" s="216" t="str">
        <f>IFERROR(VLOOKUP($B106,'Institution Evaluation'!$A$55:$F$346,2,0),IFERROR(VLOOKUP($B106,'Privacy Analyst Evaluation'!$A$46:$F$120,2,0),""))&amp;""</f>
        <v>If sensitive data is introduced to your solution's AI model, can the data be removed from the AI model by request?*</v>
      </c>
      <c r="D106" s="216" t="str">
        <f>IFERROR(VLOOKUP($B106,'Institution Evaluation'!$A$55:$F$346,3,0),IFERROR(VLOOKUP($B106,'Privacy Analyst Evaluation'!$A$46:$F$120,3,0),""))&amp;""</f>
        <v/>
      </c>
      <c r="E106" s="216" t="str">
        <f>IFERROR(VLOOKUP($B106,'Institution Evaluation'!$A$55:$F$346,4,0),IFERROR(VLOOKUP($B106,'Privacy Analyst Evaluation'!$A$46:$F$120,4,0),""))&amp;""</f>
        <v/>
      </c>
      <c r="F106" s="216" t="str">
        <f>IFERROR(VLOOKUP($B106,'Institution Evaluation'!$A$55:$F$346,6,0),IFERROR(VLOOKUP($B106,'Privacy Analyst Evaluation'!$A$46:$F$120,6,0),""))&amp;""</f>
        <v/>
      </c>
      <c r="G106" s="217"/>
      <c r="H106" s="216" t="str">
        <f>IFERROR(IF($H105+1&gt;'(backend scoring)'!$Q$335,"",$H105+1),"")</f>
        <v/>
      </c>
      <c r="I106" s="216" t="str">
        <f>_xlfn.XLOOKUP($H106,'(backend scoring)'!$S$2:$S$333,'(backend scoring)'!$A$2:$A$333,"")</f>
        <v/>
      </c>
      <c r="J106" s="216" t="str">
        <f>IFERROR(VLOOKUP($I106,'Institution Evaluation'!$A$55:$F$346,2,0),IFERROR(VLOOKUP($I106,'Privacy Analyst Evaluation'!$A$46:$F$120,2,0),""))</f>
        <v/>
      </c>
      <c r="K106" s="216" t="str">
        <f>IFERROR(VLOOKUP($I106,'Institution Evaluation'!$A$55:$F$346,3,0),IFERROR(VLOOKUP($I106,'Privacy Analyst Evaluation'!$A$46:$F$120,3,0),""))&amp;""</f>
        <v/>
      </c>
      <c r="L106" s="216" t="str">
        <f>IFERROR(VLOOKUP($I106,'Institution Evaluation'!$A$55:$F$346,4,0),IFERROR(VLOOKUP($I106,'Privacy Analyst Evaluation'!$A$46:$F$120,4,0),""))&amp;""</f>
        <v/>
      </c>
      <c r="M106" s="216" t="str">
        <f>IFERROR(VLOOKUP($I106,'Institution Evaluation'!$A$55:$F$346,6,0),IFERROR(VLOOKUP($I106,'Privacy Analyst Evaluation'!$A$46:$F$120,6,0),""))&amp;""</f>
        <v/>
      </c>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row>
    <row r="107" spans="1:338" ht="45" x14ac:dyDescent="0.3">
      <c r="A107" s="216">
        <f>IFERROR(IF($A106+1&gt;'(backend scoring)'!$T$335,"",$A106+1),"")</f>
        <v>83</v>
      </c>
      <c r="B107" s="216" t="str">
        <f>_xlfn.XLOOKUP($A107,'(backend scoring)'!$V$2:$V$333,'(backend scoring)'!$A$2:$A$333,"")</f>
        <v>AISC-02</v>
      </c>
      <c r="C107" s="216" t="str">
        <f>IFERROR(VLOOKUP($B107,'Institution Evaluation'!$A$55:$F$346,2,0),IFERROR(VLOOKUP($B107,'Privacy Analyst Evaluation'!$A$46:$F$120,2,0),""))&amp;""</f>
        <v>Is user input data used to influence your solution's AI model?*</v>
      </c>
      <c r="D107" s="216" t="str">
        <f>IFERROR(VLOOKUP($B107,'Institution Evaluation'!$A$55:$F$346,3,0),IFERROR(VLOOKUP($B107,'Privacy Analyst Evaluation'!$A$46:$F$120,3,0),""))&amp;""</f>
        <v/>
      </c>
      <c r="E107" s="216" t="str">
        <f>IFERROR(VLOOKUP($B107,'Institution Evaluation'!$A$55:$F$346,4,0),IFERROR(VLOOKUP($B107,'Privacy Analyst Evaluation'!$A$46:$F$120,4,0),""))&amp;""</f>
        <v/>
      </c>
      <c r="F107" s="216" t="str">
        <f>IFERROR(VLOOKUP($B107,'Institution Evaluation'!$A$55:$F$346,6,0),IFERROR(VLOOKUP($B107,'Privacy Analyst Evaluation'!$A$46:$F$120,6,0),""))&amp;""</f>
        <v/>
      </c>
      <c r="G107" s="217"/>
      <c r="H107" s="216" t="str">
        <f>IFERROR(IF($H106+1&gt;'(backend scoring)'!$Q$335,"",$H106+1),"")</f>
        <v/>
      </c>
      <c r="I107" s="216" t="str">
        <f>_xlfn.XLOOKUP($H107,'(backend scoring)'!$S$2:$S$333,'(backend scoring)'!$A$2:$A$333,"")</f>
        <v/>
      </c>
      <c r="J107" s="216" t="str">
        <f>IFERROR(VLOOKUP($I107,'Institution Evaluation'!$A$55:$F$346,2,0),IFERROR(VLOOKUP($I107,'Privacy Analyst Evaluation'!$A$46:$F$120,2,0),""))</f>
        <v/>
      </c>
      <c r="K107" s="216" t="str">
        <f>IFERROR(VLOOKUP($I107,'Institution Evaluation'!$A$55:$F$346,3,0),IFERROR(VLOOKUP($I107,'Privacy Analyst Evaluation'!$A$46:$F$120,3,0),""))&amp;""</f>
        <v/>
      </c>
      <c r="L107" s="216" t="str">
        <f>IFERROR(VLOOKUP($I107,'Institution Evaluation'!$A$55:$F$346,4,0),IFERROR(VLOOKUP($I107,'Privacy Analyst Evaluation'!$A$46:$F$120,4,0),""))&amp;""</f>
        <v/>
      </c>
      <c r="M107" s="216" t="str">
        <f>IFERROR(VLOOKUP($I107,'Institution Evaluation'!$A$55:$F$346,6,0),IFERROR(VLOOKUP($I107,'Privacy Analyst Evaluation'!$A$46:$F$120,6,0),""))&amp;""</f>
        <v/>
      </c>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row>
    <row r="108" spans="1:338" ht="60" x14ac:dyDescent="0.3">
      <c r="A108" s="216">
        <f>IFERROR(IF($A107+1&gt;'(backend scoring)'!$T$335,"",$A107+1),"")</f>
        <v>84</v>
      </c>
      <c r="B108" s="216" t="str">
        <f>_xlfn.XLOOKUP($A108,'(backend scoring)'!$V$2:$V$333,'(backend scoring)'!$A$2:$A$333,"")</f>
        <v>AISC-03</v>
      </c>
      <c r="C108" s="216" t="str">
        <f>IFERROR(VLOOKUP($B108,'Institution Evaluation'!$A$55:$F$346,2,0),IFERROR(VLOOKUP($B108,'Privacy Analyst Evaluation'!$A$46:$F$120,2,0),""))&amp;""</f>
        <v>Do you provide logging for your solution's AI feature(s) that includes user, date, and action taken?*</v>
      </c>
      <c r="D108" s="216" t="str">
        <f>IFERROR(VLOOKUP($B108,'Institution Evaluation'!$A$55:$F$346,3,0),IFERROR(VLOOKUP($B108,'Privacy Analyst Evaluation'!$A$46:$F$120,3,0),""))&amp;""</f>
        <v/>
      </c>
      <c r="E108" s="216" t="str">
        <f>IFERROR(VLOOKUP($B108,'Institution Evaluation'!$A$55:$F$346,4,0),IFERROR(VLOOKUP($B108,'Privacy Analyst Evaluation'!$A$46:$F$120,4,0),""))&amp;""</f>
        <v/>
      </c>
      <c r="F108" s="216" t="str">
        <f>IFERROR(VLOOKUP($B108,'Institution Evaluation'!$A$55:$F$346,6,0),IFERROR(VLOOKUP($B108,'Privacy Analyst Evaluation'!$A$46:$F$120,6,0),""))&amp;""</f>
        <v/>
      </c>
      <c r="G108" s="217"/>
      <c r="H108" s="216" t="str">
        <f>IFERROR(IF($H107+1&gt;'(backend scoring)'!$Q$335,"",$H107+1),"")</f>
        <v/>
      </c>
      <c r="I108" s="216" t="str">
        <f>_xlfn.XLOOKUP($H108,'(backend scoring)'!$S$2:$S$333,'(backend scoring)'!$A$2:$A$333,"")</f>
        <v/>
      </c>
      <c r="J108" s="216" t="str">
        <f>IFERROR(VLOOKUP($I108,'Institution Evaluation'!$A$55:$F$346,2,0),IFERROR(VLOOKUP($I108,'Privacy Analyst Evaluation'!$A$46:$F$120,2,0),""))</f>
        <v/>
      </c>
      <c r="K108" s="216" t="str">
        <f>IFERROR(VLOOKUP($I108,'Institution Evaluation'!$A$55:$F$346,3,0),IFERROR(VLOOKUP($I108,'Privacy Analyst Evaluation'!$A$46:$F$120,3,0),""))&amp;""</f>
        <v/>
      </c>
      <c r="L108" s="216" t="str">
        <f>IFERROR(VLOOKUP($I108,'Institution Evaluation'!$A$55:$F$346,4,0),IFERROR(VLOOKUP($I108,'Privacy Analyst Evaluation'!$A$46:$F$120,4,0),""))&amp;""</f>
        <v/>
      </c>
      <c r="M108" s="216" t="str">
        <f>IFERROR(VLOOKUP($I108,'Institution Evaluation'!$A$55:$F$346,6,0),IFERROR(VLOOKUP($I108,'Privacy Analyst Evaluation'!$A$46:$F$120,6,0),""))&amp;""</f>
        <v/>
      </c>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row>
    <row r="109" spans="1:338" ht="30" x14ac:dyDescent="0.3">
      <c r="A109" s="216">
        <f>IFERROR(IF($A108+1&gt;'(backend scoring)'!$T$335,"",$A108+1),"")</f>
        <v>85</v>
      </c>
      <c r="B109" s="216" t="str">
        <f>_xlfn.XLOOKUP($A109,'(backend scoring)'!$V$2:$V$333,'(backend scoring)'!$A$2:$A$333,"")</f>
        <v>AIML-01</v>
      </c>
      <c r="C109" s="216" t="str">
        <f>IFERROR(VLOOKUP($B109,'Institution Evaluation'!$A$55:$F$346,2,0),IFERROR(VLOOKUP($B109,'Privacy Analyst Evaluation'!$A$46:$F$120,2,0),""))&amp;""</f>
        <v>Do you separate ML training data from your ML solution data?*</v>
      </c>
      <c r="D109" s="216" t="str">
        <f>IFERROR(VLOOKUP($B109,'Institution Evaluation'!$A$55:$F$346,3,0),IFERROR(VLOOKUP($B109,'Privacy Analyst Evaluation'!$A$46:$F$120,3,0),""))&amp;""</f>
        <v/>
      </c>
      <c r="E109" s="216" t="str">
        <f>IFERROR(VLOOKUP($B109,'Institution Evaluation'!$A$55:$F$346,4,0),IFERROR(VLOOKUP($B109,'Privacy Analyst Evaluation'!$A$46:$F$120,4,0),""))&amp;""</f>
        <v/>
      </c>
      <c r="F109" s="216" t="str">
        <f>IFERROR(VLOOKUP($B109,'Institution Evaluation'!$A$55:$F$346,6,0),IFERROR(VLOOKUP($B109,'Privacy Analyst Evaluation'!$A$46:$F$120,6,0),""))&amp;""</f>
        <v/>
      </c>
      <c r="G109" s="217"/>
      <c r="H109" s="216" t="str">
        <f>IFERROR(IF($H108+1&gt;'(backend scoring)'!$Q$335,"",$H108+1),"")</f>
        <v/>
      </c>
      <c r="I109" s="216" t="str">
        <f>_xlfn.XLOOKUP($H109,'(backend scoring)'!$S$2:$S$333,'(backend scoring)'!$A$2:$A$333,"")</f>
        <v/>
      </c>
      <c r="J109" s="216" t="str">
        <f>IFERROR(VLOOKUP($I109,'Institution Evaluation'!$A$55:$F$346,2,0),IFERROR(VLOOKUP($I109,'Privacy Analyst Evaluation'!$A$46:$F$120,2,0),""))</f>
        <v/>
      </c>
      <c r="K109" s="216" t="str">
        <f>IFERROR(VLOOKUP($I109,'Institution Evaluation'!$A$55:$F$346,3,0),IFERROR(VLOOKUP($I109,'Privacy Analyst Evaluation'!$A$46:$F$120,3,0),""))&amp;""</f>
        <v/>
      </c>
      <c r="L109" s="216" t="str">
        <f>IFERROR(VLOOKUP($I109,'Institution Evaluation'!$A$55:$F$346,4,0),IFERROR(VLOOKUP($I109,'Privacy Analyst Evaluation'!$A$46:$F$120,4,0),""))&amp;""</f>
        <v/>
      </c>
      <c r="M109" s="216" t="str">
        <f>IFERROR(VLOOKUP($I109,'Institution Evaluation'!$A$55:$F$346,6,0),IFERROR(VLOOKUP($I109,'Privacy Analyst Evaluation'!$A$46:$F$120,6,0),""))&amp;""</f>
        <v/>
      </c>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row>
    <row r="110" spans="1:338" ht="30" x14ac:dyDescent="0.3">
      <c r="A110" s="216">
        <f>IFERROR(IF($A109+1&gt;'(backend scoring)'!$T$335,"",$A109+1),"")</f>
        <v>86</v>
      </c>
      <c r="B110" s="216" t="str">
        <f>_xlfn.XLOOKUP($A110,'(backend scoring)'!$V$2:$V$333,'(backend scoring)'!$A$2:$A$333,"")</f>
        <v>AIML-02</v>
      </c>
      <c r="C110" s="216" t="str">
        <f>IFERROR(VLOOKUP($B110,'Institution Evaluation'!$A$55:$F$346,2,0),IFERROR(VLOOKUP($B110,'Privacy Analyst Evaluation'!$A$46:$F$120,2,0),""))&amp;""</f>
        <v>Do you authenticate and verify your ML model's feedback?*</v>
      </c>
      <c r="D110" s="216" t="str">
        <f>IFERROR(VLOOKUP($B110,'Institution Evaluation'!$A$55:$F$346,3,0),IFERROR(VLOOKUP($B110,'Privacy Analyst Evaluation'!$A$46:$F$120,3,0),""))&amp;""</f>
        <v/>
      </c>
      <c r="E110" s="216" t="str">
        <f>IFERROR(VLOOKUP($B110,'Institution Evaluation'!$A$55:$F$346,4,0),IFERROR(VLOOKUP($B110,'Privacy Analyst Evaluation'!$A$46:$F$120,4,0),""))&amp;""</f>
        <v/>
      </c>
      <c r="F110" s="216" t="str">
        <f>IFERROR(VLOOKUP($B110,'Institution Evaluation'!$A$55:$F$346,6,0),IFERROR(VLOOKUP($B110,'Privacy Analyst Evaluation'!$A$46:$F$120,6,0),""))&amp;""</f>
        <v/>
      </c>
      <c r="G110" s="217"/>
      <c r="H110" s="216" t="str">
        <f>IFERROR(IF($H109+1&gt;'(backend scoring)'!$Q$335,"",$H109+1),"")</f>
        <v/>
      </c>
      <c r="I110" s="216" t="str">
        <f>_xlfn.XLOOKUP($H110,'(backend scoring)'!$S$2:$S$333,'(backend scoring)'!$A$2:$A$333,"")</f>
        <v/>
      </c>
      <c r="J110" s="216" t="str">
        <f>IFERROR(VLOOKUP($I110,'Institution Evaluation'!$A$55:$F$346,2,0),IFERROR(VLOOKUP($I110,'Privacy Analyst Evaluation'!$A$46:$F$120,2,0),""))</f>
        <v/>
      </c>
      <c r="K110" s="216" t="str">
        <f>IFERROR(VLOOKUP($I110,'Institution Evaluation'!$A$55:$F$346,3,0),IFERROR(VLOOKUP($I110,'Privacy Analyst Evaluation'!$A$46:$F$120,3,0),""))&amp;""</f>
        <v/>
      </c>
      <c r="L110" s="216" t="str">
        <f>IFERROR(VLOOKUP($I110,'Institution Evaluation'!$A$55:$F$346,4,0),IFERROR(VLOOKUP($I110,'Privacy Analyst Evaluation'!$A$46:$F$120,4,0),""))&amp;""</f>
        <v/>
      </c>
      <c r="M110" s="216" t="str">
        <f>IFERROR(VLOOKUP($I110,'Institution Evaluation'!$A$55:$F$346,6,0),IFERROR(VLOOKUP($I110,'Privacy Analyst Evaluation'!$A$46:$F$120,6,0),""))&amp;""</f>
        <v/>
      </c>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row>
    <row r="111" spans="1:338" ht="30" x14ac:dyDescent="0.3">
      <c r="A111" s="216">
        <f>IFERROR(IF($A110+1&gt;'(backend scoring)'!$T$335,"",$A110+1),"")</f>
        <v>87</v>
      </c>
      <c r="B111" s="216" t="str">
        <f>_xlfn.XLOOKUP($A111,'(backend scoring)'!$V$2:$V$333,'(backend scoring)'!$A$2:$A$333,"")</f>
        <v>AILM-01</v>
      </c>
      <c r="C111" s="216" t="str">
        <f>IFERROR(VLOOKUP($B111,'Institution Evaluation'!$A$55:$F$346,2,0),IFERROR(VLOOKUP($B111,'Privacy Analyst Evaluation'!$A$46:$F$120,2,0),""))&amp;""</f>
        <v>Do you limit your solution's LLM privileges by default?*</v>
      </c>
      <c r="D111" s="216" t="str">
        <f>IFERROR(VLOOKUP($B111,'Institution Evaluation'!$A$55:$F$346,3,0),IFERROR(VLOOKUP($B111,'Privacy Analyst Evaluation'!$A$46:$F$120,3,0),""))&amp;""</f>
        <v/>
      </c>
      <c r="E111" s="216" t="str">
        <f>IFERROR(VLOOKUP($B111,'Institution Evaluation'!$A$55:$F$346,4,0),IFERROR(VLOOKUP($B111,'Privacy Analyst Evaluation'!$A$46:$F$120,4,0),""))&amp;""</f>
        <v/>
      </c>
      <c r="F111" s="216" t="str">
        <f>IFERROR(VLOOKUP($B111,'Institution Evaluation'!$A$55:$F$346,6,0),IFERROR(VLOOKUP($B111,'Privacy Analyst Evaluation'!$A$46:$F$120,6,0),""))&amp;""</f>
        <v/>
      </c>
      <c r="G111" s="217"/>
      <c r="H111" s="216" t="str">
        <f>IFERROR(IF($H110+1&gt;'(backend scoring)'!$Q$335,"",$H110+1),"")</f>
        <v/>
      </c>
      <c r="I111" s="216" t="str">
        <f>_xlfn.XLOOKUP($H111,'(backend scoring)'!$S$2:$S$333,'(backend scoring)'!$A$2:$A$333,"")</f>
        <v/>
      </c>
      <c r="J111" s="216" t="str">
        <f>IFERROR(VLOOKUP($I111,'Institution Evaluation'!$A$55:$F$346,2,0),IFERROR(VLOOKUP($I111,'Privacy Analyst Evaluation'!$A$46:$F$120,2,0),""))</f>
        <v/>
      </c>
      <c r="K111" s="216" t="str">
        <f>IFERROR(VLOOKUP($I111,'Institution Evaluation'!$A$55:$F$346,3,0),IFERROR(VLOOKUP($I111,'Privacy Analyst Evaluation'!$A$46:$F$120,3,0),""))&amp;""</f>
        <v/>
      </c>
      <c r="L111" s="216" t="str">
        <f>IFERROR(VLOOKUP($I111,'Institution Evaluation'!$A$55:$F$346,4,0),IFERROR(VLOOKUP($I111,'Privacy Analyst Evaluation'!$A$46:$F$120,4,0),""))&amp;""</f>
        <v/>
      </c>
      <c r="M111" s="216" t="str">
        <f>IFERROR(VLOOKUP($I111,'Institution Evaluation'!$A$55:$F$346,6,0),IFERROR(VLOOKUP($I111,'Privacy Analyst Evaluation'!$A$46:$F$120,6,0),""))&amp;""</f>
        <v/>
      </c>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row>
    <row r="112" spans="1:338" ht="45" x14ac:dyDescent="0.3">
      <c r="A112" s="216">
        <f>IFERROR(IF($A111+1&gt;'(backend scoring)'!$T$335,"",$A111+1),"")</f>
        <v>88</v>
      </c>
      <c r="B112" s="216" t="str">
        <f>_xlfn.XLOOKUP($A112,'(backend scoring)'!$V$2:$V$333,'(backend scoring)'!$A$2:$A$333,"")</f>
        <v>AILM-02</v>
      </c>
      <c r="C112" s="216" t="str">
        <f>IFERROR(VLOOKUP($B112,'Institution Evaluation'!$A$55:$F$346,2,0),IFERROR(VLOOKUP($B112,'Privacy Analyst Evaluation'!$A$46:$F$120,2,0),""))&amp;""</f>
        <v>Is your LLM training data vetted, validated, and verified before training the solution's AI model?*</v>
      </c>
      <c r="D112" s="216" t="str">
        <f>IFERROR(VLOOKUP($B112,'Institution Evaluation'!$A$55:$F$346,3,0),IFERROR(VLOOKUP($B112,'Privacy Analyst Evaluation'!$A$46:$F$120,3,0),""))&amp;""</f>
        <v/>
      </c>
      <c r="E112" s="216" t="str">
        <f>IFERROR(VLOOKUP($B112,'Institution Evaluation'!$A$55:$F$346,4,0),IFERROR(VLOOKUP($B112,'Privacy Analyst Evaluation'!$A$46:$F$120,4,0),""))&amp;""</f>
        <v/>
      </c>
      <c r="F112" s="216" t="str">
        <f>IFERROR(VLOOKUP($B112,'Institution Evaluation'!$A$55:$F$346,6,0),IFERROR(VLOOKUP($B112,'Privacy Analyst Evaluation'!$A$46:$F$120,6,0),""))&amp;""</f>
        <v/>
      </c>
      <c r="G112" s="217"/>
      <c r="H112" s="216" t="str">
        <f>IFERROR(IF($H111+1&gt;'(backend scoring)'!$Q$335,"",$H111+1),"")</f>
        <v/>
      </c>
      <c r="I112" s="216" t="str">
        <f>_xlfn.XLOOKUP($H112,'(backend scoring)'!$S$2:$S$333,'(backend scoring)'!$A$2:$A$333,"")</f>
        <v/>
      </c>
      <c r="J112" s="216" t="str">
        <f>IFERROR(VLOOKUP($I112,'Institution Evaluation'!$A$55:$F$346,2,0),IFERROR(VLOOKUP($I112,'Privacy Analyst Evaluation'!$A$46:$F$120,2,0),""))</f>
        <v/>
      </c>
      <c r="K112" s="216" t="str">
        <f>IFERROR(VLOOKUP($I112,'Institution Evaluation'!$A$55:$F$346,3,0),IFERROR(VLOOKUP($I112,'Privacy Analyst Evaluation'!$A$46:$F$120,3,0),""))&amp;""</f>
        <v/>
      </c>
      <c r="L112" s="216" t="str">
        <f>IFERROR(VLOOKUP($I112,'Institution Evaluation'!$A$55:$F$346,4,0),IFERROR(VLOOKUP($I112,'Privacy Analyst Evaluation'!$A$46:$F$120,4,0),""))&amp;""</f>
        <v/>
      </c>
      <c r="M112" s="216" t="str">
        <f>IFERROR(VLOOKUP($I112,'Institution Evaluation'!$A$55:$F$346,6,0),IFERROR(VLOOKUP($I112,'Privacy Analyst Evaluation'!$A$46:$F$120,6,0),""))&amp;""</f>
        <v/>
      </c>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row>
    <row r="113" spans="1:338" ht="45" x14ac:dyDescent="0.3">
      <c r="A113" s="216">
        <f>IFERROR(IF($A112+1&gt;'(backend scoring)'!$T$335,"",$A112+1),"")</f>
        <v>89</v>
      </c>
      <c r="B113" s="216" t="str">
        <f>_xlfn.XLOOKUP($A113,'(backend scoring)'!$V$2:$V$333,'(backend scoring)'!$A$2:$A$333,"")</f>
        <v>AILM-03</v>
      </c>
      <c r="C113" s="216" t="str">
        <f>IFERROR(VLOOKUP($B113,'Institution Evaluation'!$A$55:$F$346,2,0),IFERROR(VLOOKUP($B113,'Privacy Analyst Evaluation'!$A$46:$F$120,2,0),""))&amp;""</f>
        <v>Do any actions taken by your solution's LLM features or plugins require human intervention?*</v>
      </c>
      <c r="D113" s="216" t="str">
        <f>IFERROR(VLOOKUP($B113,'Institution Evaluation'!$A$55:$F$346,3,0),IFERROR(VLOOKUP($B113,'Privacy Analyst Evaluation'!$A$46:$F$120,3,0),""))&amp;""</f>
        <v/>
      </c>
      <c r="E113" s="216" t="str">
        <f>IFERROR(VLOOKUP($B113,'Institution Evaluation'!$A$55:$F$346,4,0),IFERROR(VLOOKUP($B113,'Privacy Analyst Evaluation'!$A$46:$F$120,4,0),""))&amp;""</f>
        <v/>
      </c>
      <c r="F113" s="216" t="str">
        <f>IFERROR(VLOOKUP($B113,'Institution Evaluation'!$A$55:$F$346,6,0),IFERROR(VLOOKUP($B113,'Privacy Analyst Evaluation'!$A$46:$F$120,6,0),""))&amp;""</f>
        <v/>
      </c>
      <c r="G113" s="217"/>
      <c r="H113" s="216" t="str">
        <f>IFERROR(IF($H112+1&gt;'(backend scoring)'!$Q$335,"",$H112+1),"")</f>
        <v/>
      </c>
      <c r="I113" s="216" t="str">
        <f>_xlfn.XLOOKUP($H113,'(backend scoring)'!$S$2:$S$333,'(backend scoring)'!$A$2:$A$333,"")</f>
        <v/>
      </c>
      <c r="J113" s="216" t="str">
        <f>IFERROR(VLOOKUP($I113,'Institution Evaluation'!$A$55:$F$346,2,0),IFERROR(VLOOKUP($I113,'Privacy Analyst Evaluation'!$A$46:$F$120,2,0),""))</f>
        <v/>
      </c>
      <c r="K113" s="216" t="str">
        <f>IFERROR(VLOOKUP($I113,'Institution Evaluation'!$A$55:$F$346,3,0),IFERROR(VLOOKUP($I113,'Privacy Analyst Evaluation'!$A$46:$F$120,3,0),""))&amp;""</f>
        <v/>
      </c>
      <c r="L113" s="216" t="str">
        <f>IFERROR(VLOOKUP($I113,'Institution Evaluation'!$A$55:$F$346,4,0),IFERROR(VLOOKUP($I113,'Privacy Analyst Evaluation'!$A$46:$F$120,4,0),""))&amp;""</f>
        <v/>
      </c>
      <c r="M113" s="216" t="str">
        <f>IFERROR(VLOOKUP($I113,'Institution Evaluation'!$A$55:$F$346,6,0),IFERROR(VLOOKUP($I113,'Privacy Analyst Evaluation'!$A$46:$F$120,6,0),""))&amp;""</f>
        <v/>
      </c>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row>
    <row r="114" spans="1:338" ht="45" x14ac:dyDescent="0.3">
      <c r="A114" s="216">
        <f>IFERROR(IF($A113+1&gt;'(backend scoring)'!$T$335,"",$A113+1),"")</f>
        <v>90</v>
      </c>
      <c r="B114" s="216" t="str">
        <f>_xlfn.XLOOKUP($A114,'(backend scoring)'!$V$2:$V$333,'(backend scoring)'!$A$2:$A$333,"")</f>
        <v>AILM-04</v>
      </c>
      <c r="C114" s="216" t="str">
        <f>IFERROR(VLOOKUP($B114,'Institution Evaluation'!$A$55:$F$346,2,0),IFERROR(VLOOKUP($B114,'Privacy Analyst Evaluation'!$A$46:$F$120,2,0),""))&amp;""</f>
        <v>Do you limit multiple LLM model plugins being called as part of a single input?*</v>
      </c>
      <c r="D114" s="216" t="str">
        <f>IFERROR(VLOOKUP($B114,'Institution Evaluation'!$A$55:$F$346,3,0),IFERROR(VLOOKUP($B114,'Privacy Analyst Evaluation'!$A$46:$F$120,3,0),""))&amp;""</f>
        <v/>
      </c>
      <c r="E114" s="216" t="str">
        <f>IFERROR(VLOOKUP($B114,'Institution Evaluation'!$A$55:$F$346,4,0),IFERROR(VLOOKUP($B114,'Privacy Analyst Evaluation'!$A$46:$F$120,4,0),""))&amp;""</f>
        <v/>
      </c>
      <c r="F114" s="216" t="str">
        <f>IFERROR(VLOOKUP($B114,'Institution Evaluation'!$A$55:$F$346,6,0),IFERROR(VLOOKUP($B114,'Privacy Analyst Evaluation'!$A$46:$F$120,6,0),""))&amp;""</f>
        <v/>
      </c>
      <c r="G114" s="217"/>
      <c r="H114" s="216" t="str">
        <f>IFERROR(IF($H113+1&gt;'(backend scoring)'!$Q$335,"",$H113+1),"")</f>
        <v/>
      </c>
      <c r="I114" s="216" t="str">
        <f>_xlfn.XLOOKUP($H114,'(backend scoring)'!$S$2:$S$333,'(backend scoring)'!$A$2:$A$333,"")</f>
        <v/>
      </c>
      <c r="J114" s="216" t="str">
        <f>IFERROR(VLOOKUP($I114,'Institution Evaluation'!$A$55:$F$346,2,0),IFERROR(VLOOKUP($I114,'Privacy Analyst Evaluation'!$A$46:$F$120,2,0),""))</f>
        <v/>
      </c>
      <c r="K114" s="216" t="str">
        <f>IFERROR(VLOOKUP($I114,'Institution Evaluation'!$A$55:$F$346,3,0),IFERROR(VLOOKUP($I114,'Privacy Analyst Evaluation'!$A$46:$F$120,3,0),""))&amp;""</f>
        <v/>
      </c>
      <c r="L114" s="216" t="str">
        <f>IFERROR(VLOOKUP($I114,'Institution Evaluation'!$A$55:$F$346,4,0),IFERROR(VLOOKUP($I114,'Privacy Analyst Evaluation'!$A$46:$F$120,4,0),""))&amp;""</f>
        <v/>
      </c>
      <c r="M114" s="216" t="str">
        <f>IFERROR(VLOOKUP($I114,'Institution Evaluation'!$A$55:$F$346,6,0),IFERROR(VLOOKUP($I114,'Privacy Analyst Evaluation'!$A$46:$F$120,6,0),""))&amp;""</f>
        <v/>
      </c>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row>
    <row r="115" spans="1:338" x14ac:dyDescent="0.3">
      <c r="A115" s="216" t="str">
        <f>IFERROR(IF($A114+1&gt;'(backend scoring)'!$T$335,"",$A114+1),"")</f>
        <v/>
      </c>
      <c r="B115" s="216" t="str">
        <f>_xlfn.XLOOKUP($A115,'(backend scoring)'!$V$2:$V$333,'(backend scoring)'!$A$2:$A$333,"")</f>
        <v/>
      </c>
      <c r="C115" s="216" t="str">
        <f>IFERROR(VLOOKUP($B115,'Institution Evaluation'!$A$55:$F$346,2,0),IFERROR(VLOOKUP($B115,'Privacy Analyst Evaluation'!$A$46:$F$120,2,0),""))&amp;""</f>
        <v/>
      </c>
      <c r="D115" s="216" t="str">
        <f>IFERROR(VLOOKUP($B115,'Institution Evaluation'!$A$55:$F$346,3,0),IFERROR(VLOOKUP($B115,'Privacy Analyst Evaluation'!$A$46:$F$120,3,0),""))&amp;""</f>
        <v/>
      </c>
      <c r="E115" s="216" t="str">
        <f>IFERROR(VLOOKUP($B115,'Institution Evaluation'!$A$55:$F$346,4,0),IFERROR(VLOOKUP($B115,'Privacy Analyst Evaluation'!$A$46:$F$120,4,0),""))&amp;""</f>
        <v/>
      </c>
      <c r="F115" s="216" t="str">
        <f>IFERROR(VLOOKUP($B115,'Institution Evaluation'!$A$55:$F$346,6,0),IFERROR(VLOOKUP($B115,'Privacy Analyst Evaluation'!$A$46:$F$120,6,0),""))&amp;""</f>
        <v/>
      </c>
      <c r="G115" s="217"/>
      <c r="H115" s="216" t="str">
        <f>IFERROR(IF($H114+1&gt;'(backend scoring)'!$Q$335,"",$H114+1),"")</f>
        <v/>
      </c>
      <c r="I115" s="216" t="str">
        <f>_xlfn.XLOOKUP($H115,'(backend scoring)'!$S$2:$S$333,'(backend scoring)'!$A$2:$A$333,"")</f>
        <v/>
      </c>
      <c r="J115" s="216" t="str">
        <f>IFERROR(VLOOKUP($I115,'Institution Evaluation'!$A$55:$F$346,2,0),IFERROR(VLOOKUP($I115,'Privacy Analyst Evaluation'!$A$46:$F$120,2,0),""))</f>
        <v/>
      </c>
      <c r="K115" s="216" t="str">
        <f>IFERROR(VLOOKUP($I115,'Institution Evaluation'!$A$55:$F$346,3,0),IFERROR(VLOOKUP($I115,'Privacy Analyst Evaluation'!$A$46:$F$120,3,0),""))&amp;""</f>
        <v/>
      </c>
      <c r="L115" s="216" t="str">
        <f>IFERROR(VLOOKUP($I115,'Institution Evaluation'!$A$55:$F$346,4,0),IFERROR(VLOOKUP($I115,'Privacy Analyst Evaluation'!$A$46:$F$120,4,0),""))&amp;""</f>
        <v/>
      </c>
      <c r="M115" s="216" t="str">
        <f>IFERROR(VLOOKUP($I115,'Institution Evaluation'!$A$55:$F$346,6,0),IFERROR(VLOOKUP($I115,'Privacy Analyst Evaluation'!$A$46:$F$120,6,0),""))&amp;""</f>
        <v/>
      </c>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row>
    <row r="116" spans="1:338" x14ac:dyDescent="0.3">
      <c r="A116" s="216" t="str">
        <f>IFERROR(IF($A115+1&gt;'(backend scoring)'!$T$335,"",$A115+1),"")</f>
        <v/>
      </c>
      <c r="B116" s="216" t="str">
        <f>_xlfn.XLOOKUP($A116,'(backend scoring)'!$V$2:$V$333,'(backend scoring)'!$A$2:$A$333,"")</f>
        <v/>
      </c>
      <c r="C116" s="216" t="str">
        <f>IFERROR(VLOOKUP($B116,'Institution Evaluation'!$A$55:$F$346,2,0),IFERROR(VLOOKUP($B116,'Privacy Analyst Evaluation'!$A$46:$F$120,2,0),""))&amp;""</f>
        <v/>
      </c>
      <c r="D116" s="216" t="str">
        <f>IFERROR(VLOOKUP($B116,'Institution Evaluation'!$A$55:$F$346,3,0),IFERROR(VLOOKUP($B116,'Privacy Analyst Evaluation'!$A$46:$F$120,3,0),""))&amp;""</f>
        <v/>
      </c>
      <c r="E116" s="216" t="str">
        <f>IFERROR(VLOOKUP($B116,'Institution Evaluation'!$A$55:$F$346,4,0),IFERROR(VLOOKUP($B116,'Privacy Analyst Evaluation'!$A$46:$F$120,4,0),""))&amp;""</f>
        <v/>
      </c>
      <c r="F116" s="216" t="str">
        <f>IFERROR(VLOOKUP($B116,'Institution Evaluation'!$A$55:$F$346,6,0),IFERROR(VLOOKUP($B116,'Privacy Analyst Evaluation'!$A$46:$F$120,6,0),""))&amp;""</f>
        <v/>
      </c>
      <c r="G116" s="217"/>
      <c r="H116" s="216" t="str">
        <f>IFERROR(IF($H115+1&gt;'(backend scoring)'!$Q$335,"",$H115+1),"")</f>
        <v/>
      </c>
      <c r="I116" s="216" t="str">
        <f>_xlfn.XLOOKUP($H116,'(backend scoring)'!$S$2:$S$333,'(backend scoring)'!$A$2:$A$333,"")</f>
        <v/>
      </c>
      <c r="J116" s="216" t="str">
        <f>IFERROR(VLOOKUP($I116,'Institution Evaluation'!$A$55:$F$346,2,0),IFERROR(VLOOKUP($I116,'Privacy Analyst Evaluation'!$A$46:$F$120,2,0),""))</f>
        <v/>
      </c>
      <c r="K116" s="216" t="str">
        <f>IFERROR(VLOOKUP($I116,'Institution Evaluation'!$A$55:$F$346,3,0),IFERROR(VLOOKUP($I116,'Privacy Analyst Evaluation'!$A$46:$F$120,3,0),""))&amp;""</f>
        <v/>
      </c>
      <c r="L116" s="216" t="str">
        <f>IFERROR(VLOOKUP($I116,'Institution Evaluation'!$A$55:$F$346,4,0),IFERROR(VLOOKUP($I116,'Privacy Analyst Evaluation'!$A$46:$F$120,4,0),""))&amp;""</f>
        <v/>
      </c>
      <c r="M116" s="216" t="str">
        <f>IFERROR(VLOOKUP($I116,'Institution Evaluation'!$A$55:$F$346,6,0),IFERROR(VLOOKUP($I116,'Privacy Analyst Evaluation'!$A$46:$F$120,6,0),""))&amp;""</f>
        <v/>
      </c>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row>
    <row r="117" spans="1:338" x14ac:dyDescent="0.3">
      <c r="A117" s="216" t="str">
        <f>IFERROR(IF($A116+1&gt;'(backend scoring)'!$T$335,"",$A116+1),"")</f>
        <v/>
      </c>
      <c r="B117" s="216" t="str">
        <f>_xlfn.XLOOKUP($A117,'(backend scoring)'!$V$2:$V$333,'(backend scoring)'!$A$2:$A$333,"")</f>
        <v/>
      </c>
      <c r="C117" s="216" t="str">
        <f>IFERROR(VLOOKUP($B117,'Institution Evaluation'!$A$55:$F$346,2,0),IFERROR(VLOOKUP($B117,'Privacy Analyst Evaluation'!$A$46:$F$120,2,0),""))&amp;""</f>
        <v/>
      </c>
      <c r="D117" s="216" t="str">
        <f>IFERROR(VLOOKUP($B117,'Institution Evaluation'!$A$55:$F$346,3,0),IFERROR(VLOOKUP($B117,'Privacy Analyst Evaluation'!$A$46:$F$120,3,0),""))&amp;""</f>
        <v/>
      </c>
      <c r="E117" s="216" t="str">
        <f>IFERROR(VLOOKUP($B117,'Institution Evaluation'!$A$55:$F$346,4,0),IFERROR(VLOOKUP($B117,'Privacy Analyst Evaluation'!$A$46:$F$120,4,0),""))&amp;""</f>
        <v/>
      </c>
      <c r="F117" s="216" t="str">
        <f>IFERROR(VLOOKUP($B117,'Institution Evaluation'!$A$55:$F$346,6,0),IFERROR(VLOOKUP($B117,'Privacy Analyst Evaluation'!$A$46:$F$120,6,0),""))&amp;""</f>
        <v/>
      </c>
      <c r="G117" s="217"/>
      <c r="H117" s="216" t="str">
        <f>IFERROR(IF($H116+1&gt;'(backend scoring)'!$Q$335,"",$H116+1),"")</f>
        <v/>
      </c>
      <c r="I117" s="216" t="str">
        <f>_xlfn.XLOOKUP($H117,'(backend scoring)'!$S$2:$S$333,'(backend scoring)'!$A$2:$A$333,"")</f>
        <v/>
      </c>
      <c r="J117" s="216" t="str">
        <f>IFERROR(VLOOKUP($I117,'Institution Evaluation'!$A$55:$F$346,2,0),IFERROR(VLOOKUP($I117,'Privacy Analyst Evaluation'!$A$46:$F$120,2,0),""))</f>
        <v/>
      </c>
      <c r="K117" s="216" t="str">
        <f>IFERROR(VLOOKUP($I117,'Institution Evaluation'!$A$55:$F$346,3,0),IFERROR(VLOOKUP($I117,'Privacy Analyst Evaluation'!$A$46:$F$120,3,0),""))&amp;""</f>
        <v/>
      </c>
      <c r="L117" s="216" t="str">
        <f>IFERROR(VLOOKUP($I117,'Institution Evaluation'!$A$55:$F$346,4,0),IFERROR(VLOOKUP($I117,'Privacy Analyst Evaluation'!$A$46:$F$120,4,0),""))&amp;""</f>
        <v/>
      </c>
      <c r="M117" s="216" t="str">
        <f>IFERROR(VLOOKUP($I117,'Institution Evaluation'!$A$55:$F$346,6,0),IFERROR(VLOOKUP($I117,'Privacy Analyst Evaluation'!$A$46:$F$120,6,0),""))&amp;""</f>
        <v/>
      </c>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row>
    <row r="118" spans="1:338" x14ac:dyDescent="0.3">
      <c r="A118" s="216" t="str">
        <f>IFERROR(IF($A117+1&gt;'(backend scoring)'!$T$335,"",$A117+1),"")</f>
        <v/>
      </c>
      <c r="B118" s="216" t="str">
        <f>_xlfn.XLOOKUP($A118,'(backend scoring)'!$V$2:$V$333,'(backend scoring)'!$A$2:$A$333,"")</f>
        <v/>
      </c>
      <c r="C118" s="216" t="str">
        <f>IFERROR(VLOOKUP($B118,'Institution Evaluation'!$A$55:$F$346,2,0),IFERROR(VLOOKUP($B118,'Privacy Analyst Evaluation'!$A$46:$F$120,2,0),""))&amp;""</f>
        <v/>
      </c>
      <c r="D118" s="216" t="str">
        <f>IFERROR(VLOOKUP($B118,'Institution Evaluation'!$A$55:$F$346,3,0),IFERROR(VLOOKUP($B118,'Privacy Analyst Evaluation'!$A$46:$F$120,3,0),""))&amp;""</f>
        <v/>
      </c>
      <c r="E118" s="216" t="str">
        <f>IFERROR(VLOOKUP($B118,'Institution Evaluation'!$A$55:$F$346,4,0),IFERROR(VLOOKUP($B118,'Privacy Analyst Evaluation'!$A$46:$F$120,4,0),""))&amp;""</f>
        <v/>
      </c>
      <c r="F118" s="216" t="str">
        <f>IFERROR(VLOOKUP($B118,'Institution Evaluation'!$A$55:$F$346,6,0),IFERROR(VLOOKUP($B118,'Privacy Analyst Evaluation'!$A$46:$F$120,6,0),""))&amp;""</f>
        <v/>
      </c>
      <c r="G118" s="217"/>
      <c r="H118" s="216" t="str">
        <f>IFERROR(IF($H117+1&gt;'(backend scoring)'!$Q$335,"",$H117+1),"")</f>
        <v/>
      </c>
      <c r="I118" s="216" t="str">
        <f>_xlfn.XLOOKUP($H118,'(backend scoring)'!$S$2:$S$333,'(backend scoring)'!$A$2:$A$333,"")</f>
        <v/>
      </c>
      <c r="J118" s="216" t="str">
        <f>IFERROR(VLOOKUP($I118,'Institution Evaluation'!$A$55:$F$346,2,0),IFERROR(VLOOKUP($I118,'Privacy Analyst Evaluation'!$A$46:$F$120,2,0),""))</f>
        <v/>
      </c>
      <c r="K118" s="216" t="str">
        <f>IFERROR(VLOOKUP($I118,'Institution Evaluation'!$A$55:$F$346,3,0),IFERROR(VLOOKUP($I118,'Privacy Analyst Evaluation'!$A$46:$F$120,3,0),""))&amp;""</f>
        <v/>
      </c>
      <c r="L118" s="216" t="str">
        <f>IFERROR(VLOOKUP($I118,'Institution Evaluation'!$A$55:$F$346,4,0),IFERROR(VLOOKUP($I118,'Privacy Analyst Evaluation'!$A$46:$F$120,4,0),""))&amp;""</f>
        <v/>
      </c>
      <c r="M118" s="216" t="str">
        <f>IFERROR(VLOOKUP($I118,'Institution Evaluation'!$A$55:$F$346,6,0),IFERROR(VLOOKUP($I118,'Privacy Analyst Evaluation'!$A$46:$F$120,6,0),""))&amp;""</f>
        <v/>
      </c>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row>
    <row r="119" spans="1:338" x14ac:dyDescent="0.3">
      <c r="A119" s="216" t="str">
        <f>IFERROR(IF($A118+1&gt;'(backend scoring)'!$T$335,"",$A118+1),"")</f>
        <v/>
      </c>
      <c r="B119" s="216" t="str">
        <f>_xlfn.XLOOKUP($A119,'(backend scoring)'!$V$2:$V$333,'(backend scoring)'!$A$2:$A$333,"")</f>
        <v/>
      </c>
      <c r="C119" s="216" t="str">
        <f>IFERROR(VLOOKUP($B119,'Institution Evaluation'!$A$55:$F$346,2,0),IFERROR(VLOOKUP($B119,'Privacy Analyst Evaluation'!$A$46:$F$120,2,0),""))&amp;""</f>
        <v/>
      </c>
      <c r="D119" s="216" t="str">
        <f>IFERROR(VLOOKUP($B119,'Institution Evaluation'!$A$55:$F$346,3,0),IFERROR(VLOOKUP($B119,'Privacy Analyst Evaluation'!$A$46:$F$120,3,0),""))&amp;""</f>
        <v/>
      </c>
      <c r="E119" s="216" t="str">
        <f>IFERROR(VLOOKUP($B119,'Institution Evaluation'!$A$55:$F$346,4,0),IFERROR(VLOOKUP($B119,'Privacy Analyst Evaluation'!$A$46:$F$120,4,0),""))&amp;""</f>
        <v/>
      </c>
      <c r="F119" s="216" t="str">
        <f>IFERROR(VLOOKUP($B119,'Institution Evaluation'!$A$55:$F$346,6,0),IFERROR(VLOOKUP($B119,'Privacy Analyst Evaluation'!$A$46:$F$120,6,0),""))&amp;""</f>
        <v/>
      </c>
      <c r="G119" s="217"/>
      <c r="H119" s="216" t="str">
        <f>IFERROR(IF($H118+1&gt;'(backend scoring)'!$Q$335,"",$H118+1),"")</f>
        <v/>
      </c>
      <c r="I119" s="216" t="str">
        <f>_xlfn.XLOOKUP($H119,'(backend scoring)'!$S$2:$S$333,'(backend scoring)'!$A$2:$A$333,"")</f>
        <v/>
      </c>
      <c r="J119" s="216" t="str">
        <f>IFERROR(VLOOKUP($I119,'Institution Evaluation'!$A$55:$F$346,2,0),IFERROR(VLOOKUP($I119,'Privacy Analyst Evaluation'!$A$46:$F$120,2,0),""))</f>
        <v/>
      </c>
      <c r="K119" s="216" t="str">
        <f>IFERROR(VLOOKUP($I119,'Institution Evaluation'!$A$55:$F$346,3,0),IFERROR(VLOOKUP($I119,'Privacy Analyst Evaluation'!$A$46:$F$120,3,0),""))&amp;""</f>
        <v/>
      </c>
      <c r="L119" s="216" t="str">
        <f>IFERROR(VLOOKUP($I119,'Institution Evaluation'!$A$55:$F$346,4,0),IFERROR(VLOOKUP($I119,'Privacy Analyst Evaluation'!$A$46:$F$120,4,0),""))&amp;""</f>
        <v/>
      </c>
      <c r="M119" s="216" t="str">
        <f>IFERROR(VLOOKUP($I119,'Institution Evaluation'!$A$55:$F$346,6,0),IFERROR(VLOOKUP($I119,'Privacy Analyst Evaluation'!$A$46:$F$120,6,0),""))&amp;""</f>
        <v/>
      </c>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row>
    <row r="120" spans="1:338" x14ac:dyDescent="0.3">
      <c r="A120" s="216" t="str">
        <f>IFERROR(IF($A119+1&gt;'(backend scoring)'!$T$335,"",$A119+1),"")</f>
        <v/>
      </c>
      <c r="B120" s="216" t="str">
        <f>_xlfn.XLOOKUP($A120,'(backend scoring)'!$V$2:$V$333,'(backend scoring)'!$A$2:$A$333,"")</f>
        <v/>
      </c>
      <c r="C120" s="216" t="str">
        <f>IFERROR(VLOOKUP($B120,'Institution Evaluation'!$A$55:$F$346,2,0),IFERROR(VLOOKUP($B120,'Privacy Analyst Evaluation'!$A$46:$F$120,2,0),""))&amp;""</f>
        <v/>
      </c>
      <c r="D120" s="216" t="str">
        <f>IFERROR(VLOOKUP($B120,'Institution Evaluation'!$A$55:$F$346,3,0),IFERROR(VLOOKUP($B120,'Privacy Analyst Evaluation'!$A$46:$F$120,3,0),""))&amp;""</f>
        <v/>
      </c>
      <c r="E120" s="216" t="str">
        <f>IFERROR(VLOOKUP($B120,'Institution Evaluation'!$A$55:$F$346,4,0),IFERROR(VLOOKUP($B120,'Privacy Analyst Evaluation'!$A$46:$F$120,4,0),""))&amp;""</f>
        <v/>
      </c>
      <c r="F120" s="216" t="str">
        <f>IFERROR(VLOOKUP($B120,'Institution Evaluation'!$A$55:$F$346,6,0),IFERROR(VLOOKUP($B120,'Privacy Analyst Evaluation'!$A$46:$F$120,6,0),""))&amp;""</f>
        <v/>
      </c>
      <c r="G120" s="217"/>
      <c r="H120" s="216" t="str">
        <f>IFERROR(IF($H119+1&gt;'(backend scoring)'!$Q$335,"",$H119+1),"")</f>
        <v/>
      </c>
      <c r="I120" s="216" t="str">
        <f>_xlfn.XLOOKUP($H120,'(backend scoring)'!$S$2:$S$333,'(backend scoring)'!$A$2:$A$333,"")</f>
        <v/>
      </c>
      <c r="J120" s="216" t="str">
        <f>IFERROR(VLOOKUP($I120,'Institution Evaluation'!$A$55:$F$346,2,0),IFERROR(VLOOKUP($I120,'Privacy Analyst Evaluation'!$A$46:$F$120,2,0),""))</f>
        <v/>
      </c>
      <c r="K120" s="216" t="str">
        <f>IFERROR(VLOOKUP($I120,'Institution Evaluation'!$A$55:$F$346,3,0),IFERROR(VLOOKUP($I120,'Privacy Analyst Evaluation'!$A$46:$F$120,3,0),""))&amp;""</f>
        <v/>
      </c>
      <c r="L120" s="216" t="str">
        <f>IFERROR(VLOOKUP($I120,'Institution Evaluation'!$A$55:$F$346,4,0),IFERROR(VLOOKUP($I120,'Privacy Analyst Evaluation'!$A$46:$F$120,4,0),""))&amp;""</f>
        <v/>
      </c>
      <c r="M120" s="216" t="str">
        <f>IFERROR(VLOOKUP($I120,'Institution Evaluation'!$A$55:$F$346,6,0),IFERROR(VLOOKUP($I120,'Privacy Analyst Evaluation'!$A$46:$F$120,6,0),""))&amp;""</f>
        <v/>
      </c>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row>
    <row r="121" spans="1:338" x14ac:dyDescent="0.3">
      <c r="A121" s="216" t="str">
        <f>IFERROR(IF($A120+1&gt;'(backend scoring)'!$T$335,"",$A120+1),"")</f>
        <v/>
      </c>
      <c r="B121" s="216" t="str">
        <f>_xlfn.XLOOKUP($A121,'(backend scoring)'!$V$2:$V$333,'(backend scoring)'!$A$2:$A$333,"")</f>
        <v/>
      </c>
      <c r="C121" s="216" t="str">
        <f>IFERROR(VLOOKUP($B121,'Institution Evaluation'!$A$55:$F$346,2,0),IFERROR(VLOOKUP($B121,'Privacy Analyst Evaluation'!$A$46:$F$120,2,0),""))&amp;""</f>
        <v/>
      </c>
      <c r="D121" s="216" t="str">
        <f>IFERROR(VLOOKUP($B121,'Institution Evaluation'!$A$55:$F$346,3,0),IFERROR(VLOOKUP($B121,'Privacy Analyst Evaluation'!$A$46:$F$120,3,0),""))&amp;""</f>
        <v/>
      </c>
      <c r="E121" s="216" t="str">
        <f>IFERROR(VLOOKUP($B121,'Institution Evaluation'!$A$55:$F$346,4,0),IFERROR(VLOOKUP($B121,'Privacy Analyst Evaluation'!$A$46:$F$120,4,0),""))&amp;""</f>
        <v/>
      </c>
      <c r="F121" s="216" t="str">
        <f>IFERROR(VLOOKUP($B121,'Institution Evaluation'!$A$55:$F$346,6,0),IFERROR(VLOOKUP($B121,'Privacy Analyst Evaluation'!$A$46:$F$120,6,0),""))&amp;""</f>
        <v/>
      </c>
      <c r="G121" s="217"/>
      <c r="H121" s="216" t="str">
        <f>IFERROR(IF($H120+1&gt;'(backend scoring)'!$Q$335,"",$H120+1),"")</f>
        <v/>
      </c>
      <c r="I121" s="216" t="str">
        <f>_xlfn.XLOOKUP($H121,'(backend scoring)'!$S$2:$S$333,'(backend scoring)'!$A$2:$A$333,"")</f>
        <v/>
      </c>
      <c r="J121" s="216" t="str">
        <f>IFERROR(VLOOKUP($I121,'Institution Evaluation'!$A$55:$F$346,2,0),IFERROR(VLOOKUP($I121,'Privacy Analyst Evaluation'!$A$46:$F$120,2,0),""))</f>
        <v/>
      </c>
      <c r="K121" s="216" t="str">
        <f>IFERROR(VLOOKUP($I121,'Institution Evaluation'!$A$55:$F$346,3,0),IFERROR(VLOOKUP($I121,'Privacy Analyst Evaluation'!$A$46:$F$120,3,0),""))&amp;""</f>
        <v/>
      </c>
      <c r="L121" s="216" t="str">
        <f>IFERROR(VLOOKUP($I121,'Institution Evaluation'!$A$55:$F$346,4,0),IFERROR(VLOOKUP($I121,'Privacy Analyst Evaluation'!$A$46:$F$120,4,0),""))&amp;""</f>
        <v/>
      </c>
      <c r="M121" s="216" t="str">
        <f>IFERROR(VLOOKUP($I121,'Institution Evaluation'!$A$55:$F$346,6,0),IFERROR(VLOOKUP($I121,'Privacy Analyst Evaluation'!$A$46:$F$120,6,0),""))&amp;""</f>
        <v/>
      </c>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row>
    <row r="122" spans="1:338" x14ac:dyDescent="0.3">
      <c r="A122" s="216" t="str">
        <f>IFERROR(IF($A121+1&gt;'(backend scoring)'!$T$335,"",$A121+1),"")</f>
        <v/>
      </c>
      <c r="B122" s="216" t="str">
        <f>_xlfn.XLOOKUP($A122,'(backend scoring)'!$V$2:$V$333,'(backend scoring)'!$A$2:$A$333,"")</f>
        <v/>
      </c>
      <c r="C122" s="216" t="str">
        <f>IFERROR(VLOOKUP($B122,'Institution Evaluation'!$A$55:$F$346,2,0),IFERROR(VLOOKUP($B122,'Privacy Analyst Evaluation'!$A$46:$F$120,2,0),""))&amp;""</f>
        <v/>
      </c>
      <c r="D122" s="216" t="str">
        <f>IFERROR(VLOOKUP($B122,'Institution Evaluation'!$A$55:$F$346,3,0),IFERROR(VLOOKUP($B122,'Privacy Analyst Evaluation'!$A$46:$F$120,3,0),""))&amp;""</f>
        <v/>
      </c>
      <c r="E122" s="216" t="str">
        <f>IFERROR(VLOOKUP($B122,'Institution Evaluation'!$A$55:$F$346,4,0),IFERROR(VLOOKUP($B122,'Privacy Analyst Evaluation'!$A$46:$F$120,4,0),""))&amp;""</f>
        <v/>
      </c>
      <c r="F122" s="216" t="str">
        <f>IFERROR(VLOOKUP($B122,'Institution Evaluation'!$A$55:$F$346,6,0),IFERROR(VLOOKUP($B122,'Privacy Analyst Evaluation'!$A$46:$F$120,6,0),""))&amp;""</f>
        <v/>
      </c>
      <c r="G122" s="217"/>
      <c r="H122" s="216" t="str">
        <f>IFERROR(IF($H121+1&gt;'(backend scoring)'!$Q$335,"",$H121+1),"")</f>
        <v/>
      </c>
      <c r="I122" s="216" t="str">
        <f>_xlfn.XLOOKUP($H122,'(backend scoring)'!$S$2:$S$333,'(backend scoring)'!$A$2:$A$333,"")</f>
        <v/>
      </c>
      <c r="J122" s="216" t="str">
        <f>IFERROR(VLOOKUP($I122,'Institution Evaluation'!$A$55:$F$346,2,0),IFERROR(VLOOKUP($I122,'Privacy Analyst Evaluation'!$A$46:$F$120,2,0),""))</f>
        <v/>
      </c>
      <c r="K122" s="216" t="str">
        <f>IFERROR(VLOOKUP($I122,'Institution Evaluation'!$A$55:$F$346,3,0),IFERROR(VLOOKUP($I122,'Privacy Analyst Evaluation'!$A$46:$F$120,3,0),""))&amp;""</f>
        <v/>
      </c>
      <c r="L122" s="216" t="str">
        <f>IFERROR(VLOOKUP($I122,'Institution Evaluation'!$A$55:$F$346,4,0),IFERROR(VLOOKUP($I122,'Privacy Analyst Evaluation'!$A$46:$F$120,4,0),""))&amp;""</f>
        <v/>
      </c>
      <c r="M122" s="216" t="str">
        <f>IFERROR(VLOOKUP($I122,'Institution Evaluation'!$A$55:$F$346,6,0),IFERROR(VLOOKUP($I122,'Privacy Analyst Evaluation'!$A$46:$F$120,6,0),""))&amp;""</f>
        <v/>
      </c>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row>
    <row r="123" spans="1:338" x14ac:dyDescent="0.3">
      <c r="A123" s="216" t="str">
        <f>IFERROR(IF($A122+1&gt;'(backend scoring)'!$T$335,"",$A122+1),"")</f>
        <v/>
      </c>
      <c r="B123" s="216" t="str">
        <f>_xlfn.XLOOKUP($A123,'(backend scoring)'!$V$2:$V$333,'(backend scoring)'!$A$2:$A$333,"")</f>
        <v/>
      </c>
      <c r="C123" s="216" t="str">
        <f>IFERROR(VLOOKUP($B123,'Institution Evaluation'!$A$55:$F$346,2,0),IFERROR(VLOOKUP($B123,'Privacy Analyst Evaluation'!$A$46:$F$120,2,0),""))&amp;""</f>
        <v/>
      </c>
      <c r="D123" s="216" t="str">
        <f>IFERROR(VLOOKUP($B123,'Institution Evaluation'!$A$55:$F$346,3,0),IFERROR(VLOOKUP($B123,'Privacy Analyst Evaluation'!$A$46:$F$120,3,0),""))&amp;""</f>
        <v/>
      </c>
      <c r="E123" s="216" t="str">
        <f>IFERROR(VLOOKUP($B123,'Institution Evaluation'!$A$55:$F$346,4,0),IFERROR(VLOOKUP($B123,'Privacy Analyst Evaluation'!$A$46:$F$120,4,0),""))&amp;""</f>
        <v/>
      </c>
      <c r="F123" s="216" t="str">
        <f>IFERROR(VLOOKUP($B123,'Institution Evaluation'!$A$55:$F$346,6,0),IFERROR(VLOOKUP($B123,'Privacy Analyst Evaluation'!$A$46:$F$120,6,0),""))&amp;""</f>
        <v/>
      </c>
      <c r="G123" s="217"/>
      <c r="H123" s="216" t="str">
        <f>IFERROR(IF($H122+1&gt;'(backend scoring)'!$Q$335,"",$H122+1),"")</f>
        <v/>
      </c>
      <c r="I123" s="216" t="str">
        <f>_xlfn.XLOOKUP($H123,'(backend scoring)'!$S$2:$S$333,'(backend scoring)'!$A$2:$A$333,"")</f>
        <v/>
      </c>
      <c r="J123" s="216" t="str">
        <f>IFERROR(VLOOKUP($I123,'Institution Evaluation'!$A$55:$F$346,2,0),IFERROR(VLOOKUP($I123,'Privacy Analyst Evaluation'!$A$46:$F$120,2,0),""))</f>
        <v/>
      </c>
      <c r="K123" s="216" t="str">
        <f>IFERROR(VLOOKUP($I123,'Institution Evaluation'!$A$55:$F$346,3,0),IFERROR(VLOOKUP($I123,'Privacy Analyst Evaluation'!$A$46:$F$120,3,0),""))&amp;""</f>
        <v/>
      </c>
      <c r="L123" s="216" t="str">
        <f>IFERROR(VLOOKUP($I123,'Institution Evaluation'!$A$55:$F$346,4,0),IFERROR(VLOOKUP($I123,'Privacy Analyst Evaluation'!$A$46:$F$120,4,0),""))&amp;""</f>
        <v/>
      </c>
      <c r="M123" s="216" t="str">
        <f>IFERROR(VLOOKUP($I123,'Institution Evaluation'!$A$55:$F$346,6,0),IFERROR(VLOOKUP($I123,'Privacy Analyst Evaluation'!$A$46:$F$120,6,0),""))&amp;""</f>
        <v/>
      </c>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row>
    <row r="124" spans="1:338" x14ac:dyDescent="0.3">
      <c r="A124" s="216" t="str">
        <f>IFERROR(IF($A123+1&gt;'(backend scoring)'!$T$335,"",$A123+1),"")</f>
        <v/>
      </c>
      <c r="B124" s="216" t="str">
        <f>_xlfn.XLOOKUP($A124,'(backend scoring)'!$V$2:$V$333,'(backend scoring)'!$A$2:$A$333,"")</f>
        <v/>
      </c>
      <c r="C124" s="216" t="str">
        <f>IFERROR(VLOOKUP($B124,'Institution Evaluation'!$A$55:$F$346,2,0),IFERROR(VLOOKUP($B124,'Privacy Analyst Evaluation'!$A$46:$F$120,2,0),""))&amp;""</f>
        <v/>
      </c>
      <c r="D124" s="216" t="str">
        <f>IFERROR(VLOOKUP($B124,'Institution Evaluation'!$A$55:$F$346,3,0),IFERROR(VLOOKUP($B124,'Privacy Analyst Evaluation'!$A$46:$F$120,3,0),""))&amp;""</f>
        <v/>
      </c>
      <c r="E124" s="216" t="str">
        <f>IFERROR(VLOOKUP($B124,'Institution Evaluation'!$A$55:$F$346,4,0),IFERROR(VLOOKUP($B124,'Privacy Analyst Evaluation'!$A$46:$F$120,4,0),""))&amp;""</f>
        <v/>
      </c>
      <c r="F124" s="216" t="str">
        <f>IFERROR(VLOOKUP($B124,'Institution Evaluation'!$A$55:$F$346,6,0),IFERROR(VLOOKUP($B124,'Privacy Analyst Evaluation'!$A$46:$F$120,6,0),""))&amp;""</f>
        <v/>
      </c>
      <c r="G124" s="217"/>
      <c r="H124" s="216" t="str">
        <f>IFERROR(IF($H123+1&gt;'(backend scoring)'!$Q$335,"",$H123+1),"")</f>
        <v/>
      </c>
      <c r="I124" s="216" t="str">
        <f>_xlfn.XLOOKUP($H124,'(backend scoring)'!$S$2:$S$333,'(backend scoring)'!$A$2:$A$333,"")</f>
        <v/>
      </c>
      <c r="J124" s="216" t="str">
        <f>IFERROR(VLOOKUP($I124,'Institution Evaluation'!$A$55:$F$346,2,0),IFERROR(VLOOKUP($I124,'Privacy Analyst Evaluation'!$A$46:$F$120,2,0),""))</f>
        <v/>
      </c>
      <c r="K124" s="216" t="str">
        <f>IFERROR(VLOOKUP($I124,'Institution Evaluation'!$A$55:$F$346,3,0),IFERROR(VLOOKUP($I124,'Privacy Analyst Evaluation'!$A$46:$F$120,3,0),""))&amp;""</f>
        <v/>
      </c>
      <c r="L124" s="216" t="str">
        <f>IFERROR(VLOOKUP($I124,'Institution Evaluation'!$A$55:$F$346,4,0),IFERROR(VLOOKUP($I124,'Privacy Analyst Evaluation'!$A$46:$F$120,4,0),""))&amp;""</f>
        <v/>
      </c>
      <c r="M124" s="216" t="str">
        <f>IFERROR(VLOOKUP($I124,'Institution Evaluation'!$A$55:$F$346,6,0),IFERROR(VLOOKUP($I124,'Privacy Analyst Evaluation'!$A$46:$F$120,6,0),""))&amp;""</f>
        <v/>
      </c>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row>
    <row r="125" spans="1:338" x14ac:dyDescent="0.3">
      <c r="A125" s="216" t="str">
        <f>IFERROR(IF($A124+1&gt;'(backend scoring)'!$T$335,"",$A124+1),"")</f>
        <v/>
      </c>
      <c r="B125" s="216" t="str">
        <f>_xlfn.XLOOKUP($A125,'(backend scoring)'!$V$2:$V$333,'(backend scoring)'!$A$2:$A$333,"")</f>
        <v/>
      </c>
      <c r="C125" s="216" t="str">
        <f>IFERROR(VLOOKUP($B125,'Institution Evaluation'!$A$55:$F$346,2,0),IFERROR(VLOOKUP($B125,'Privacy Analyst Evaluation'!$A$46:$F$120,2,0),""))&amp;""</f>
        <v/>
      </c>
      <c r="D125" s="216" t="str">
        <f>IFERROR(VLOOKUP($B125,'Institution Evaluation'!$A$55:$F$346,3,0),IFERROR(VLOOKUP($B125,'Privacy Analyst Evaluation'!$A$46:$F$120,3,0),""))&amp;""</f>
        <v/>
      </c>
      <c r="E125" s="216" t="str">
        <f>IFERROR(VLOOKUP($B125,'Institution Evaluation'!$A$55:$F$346,4,0),IFERROR(VLOOKUP($B125,'Privacy Analyst Evaluation'!$A$46:$F$120,4,0),""))&amp;""</f>
        <v/>
      </c>
      <c r="F125" s="216" t="str">
        <f>IFERROR(VLOOKUP($B125,'Institution Evaluation'!$A$55:$F$346,6,0),IFERROR(VLOOKUP($B125,'Privacy Analyst Evaluation'!$A$46:$F$120,6,0),""))&amp;""</f>
        <v/>
      </c>
      <c r="G125" s="217"/>
      <c r="H125" s="216" t="str">
        <f>IFERROR(IF($H124+1&gt;'(backend scoring)'!$Q$335,"",$H124+1),"")</f>
        <v/>
      </c>
      <c r="I125" s="216" t="str">
        <f>_xlfn.XLOOKUP($H125,'(backend scoring)'!$S$2:$S$333,'(backend scoring)'!$A$2:$A$333,"")</f>
        <v/>
      </c>
      <c r="J125" s="216" t="str">
        <f>IFERROR(VLOOKUP($I125,'Institution Evaluation'!$A$55:$F$346,2,0),IFERROR(VLOOKUP($I125,'Privacy Analyst Evaluation'!$A$46:$F$120,2,0),""))</f>
        <v/>
      </c>
      <c r="K125" s="216" t="str">
        <f>IFERROR(VLOOKUP($I125,'Institution Evaluation'!$A$55:$F$346,3,0),IFERROR(VLOOKUP($I125,'Privacy Analyst Evaluation'!$A$46:$F$120,3,0),""))&amp;""</f>
        <v/>
      </c>
      <c r="L125" s="216" t="str">
        <f>IFERROR(VLOOKUP($I125,'Institution Evaluation'!$A$55:$F$346,4,0),IFERROR(VLOOKUP($I125,'Privacy Analyst Evaluation'!$A$46:$F$120,4,0),""))&amp;""</f>
        <v/>
      </c>
      <c r="M125" s="216" t="str">
        <f>IFERROR(VLOOKUP($I125,'Institution Evaluation'!$A$55:$F$346,6,0),IFERROR(VLOOKUP($I125,'Privacy Analyst Evaluation'!$A$46:$F$120,6,0),""))&amp;""</f>
        <v/>
      </c>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row>
    <row r="126" spans="1:338" x14ac:dyDescent="0.3">
      <c r="A126" s="216" t="str">
        <f>IFERROR(IF($A125+1&gt;'(backend scoring)'!$T$335,"",$A125+1),"")</f>
        <v/>
      </c>
      <c r="B126" s="216" t="str">
        <f>_xlfn.XLOOKUP($A126,'(backend scoring)'!$V$2:$V$333,'(backend scoring)'!$A$2:$A$333,"")</f>
        <v/>
      </c>
      <c r="C126" s="216" t="str">
        <f>IFERROR(VLOOKUP($B126,'Institution Evaluation'!$A$55:$F$346,2,0),IFERROR(VLOOKUP($B126,'Privacy Analyst Evaluation'!$A$46:$F$120,2,0),""))&amp;""</f>
        <v/>
      </c>
      <c r="D126" s="216" t="str">
        <f>IFERROR(VLOOKUP($B126,'Institution Evaluation'!$A$55:$F$346,3,0),IFERROR(VLOOKUP($B126,'Privacy Analyst Evaluation'!$A$46:$F$120,3,0),""))&amp;""</f>
        <v/>
      </c>
      <c r="E126" s="216" t="str">
        <f>IFERROR(VLOOKUP($B126,'Institution Evaluation'!$A$55:$F$346,4,0),IFERROR(VLOOKUP($B126,'Privacy Analyst Evaluation'!$A$46:$F$120,4,0),""))&amp;""</f>
        <v/>
      </c>
      <c r="F126" s="216" t="str">
        <f>IFERROR(VLOOKUP($B126,'Institution Evaluation'!$A$55:$F$346,6,0),IFERROR(VLOOKUP($B126,'Privacy Analyst Evaluation'!$A$46:$F$120,6,0),""))&amp;""</f>
        <v/>
      </c>
      <c r="G126" s="217"/>
      <c r="H126" s="216" t="str">
        <f>IFERROR(IF($H125+1&gt;'(backend scoring)'!$Q$335,"",$H125+1),"")</f>
        <v/>
      </c>
      <c r="I126" s="216" t="str">
        <f>_xlfn.XLOOKUP($H126,'(backend scoring)'!$S$2:$S$333,'(backend scoring)'!$A$2:$A$333,"")</f>
        <v/>
      </c>
      <c r="J126" s="216" t="str">
        <f>IFERROR(VLOOKUP($I126,'Institution Evaluation'!$A$55:$F$346,2,0),IFERROR(VLOOKUP($I126,'Privacy Analyst Evaluation'!$A$46:$F$120,2,0),""))</f>
        <v/>
      </c>
      <c r="K126" s="216" t="str">
        <f>IFERROR(VLOOKUP($I126,'Institution Evaluation'!$A$55:$F$346,3,0),IFERROR(VLOOKUP($I126,'Privacy Analyst Evaluation'!$A$46:$F$120,3,0),""))&amp;""</f>
        <v/>
      </c>
      <c r="L126" s="216" t="str">
        <f>IFERROR(VLOOKUP($I126,'Institution Evaluation'!$A$55:$F$346,4,0),IFERROR(VLOOKUP($I126,'Privacy Analyst Evaluation'!$A$46:$F$120,4,0),""))&amp;""</f>
        <v/>
      </c>
      <c r="M126" s="216" t="str">
        <f>IFERROR(VLOOKUP($I126,'Institution Evaluation'!$A$55:$F$346,6,0),IFERROR(VLOOKUP($I126,'Privacy Analyst Evaluation'!$A$46:$F$120,6,0),""))&amp;""</f>
        <v/>
      </c>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row>
    <row r="127" spans="1:338" x14ac:dyDescent="0.3">
      <c r="A127" s="216" t="str">
        <f>IFERROR(IF($A126+1&gt;'(backend scoring)'!$T$335,"",$A126+1),"")</f>
        <v/>
      </c>
      <c r="B127" s="216" t="str">
        <f>_xlfn.XLOOKUP($A127,'(backend scoring)'!$V$2:$V$333,'(backend scoring)'!$A$2:$A$333,"")</f>
        <v/>
      </c>
      <c r="C127" s="216" t="str">
        <f>IFERROR(VLOOKUP($B127,'Institution Evaluation'!$A$55:$F$346,2,0),IFERROR(VLOOKUP($B127,'Privacy Analyst Evaluation'!$A$46:$F$120,2,0),""))&amp;""</f>
        <v/>
      </c>
      <c r="D127" s="216" t="str">
        <f>IFERROR(VLOOKUP($B127,'Institution Evaluation'!$A$55:$F$346,3,0),IFERROR(VLOOKUP($B127,'Privacy Analyst Evaluation'!$A$46:$F$120,3,0),""))&amp;""</f>
        <v/>
      </c>
      <c r="E127" s="216" t="str">
        <f>IFERROR(VLOOKUP($B127,'Institution Evaluation'!$A$55:$F$346,4,0),IFERROR(VLOOKUP($B127,'Privacy Analyst Evaluation'!$A$46:$F$120,4,0),""))&amp;""</f>
        <v/>
      </c>
      <c r="F127" s="216" t="str">
        <f>IFERROR(VLOOKUP($B127,'Institution Evaluation'!$A$55:$F$346,6,0),IFERROR(VLOOKUP($B127,'Privacy Analyst Evaluation'!$A$46:$F$120,6,0),""))&amp;""</f>
        <v/>
      </c>
      <c r="G127" s="217"/>
      <c r="H127" s="216" t="str">
        <f>IFERROR(IF($H126+1&gt;'(backend scoring)'!$Q$335,"",$H126+1),"")</f>
        <v/>
      </c>
      <c r="I127" s="216" t="str">
        <f>_xlfn.XLOOKUP($H127,'(backend scoring)'!$S$2:$S$333,'(backend scoring)'!$A$2:$A$333,"")</f>
        <v/>
      </c>
      <c r="J127" s="216" t="str">
        <f>IFERROR(VLOOKUP($I127,'Institution Evaluation'!$A$55:$F$346,2,0),IFERROR(VLOOKUP($I127,'Privacy Analyst Evaluation'!$A$46:$F$120,2,0),""))</f>
        <v/>
      </c>
      <c r="K127" s="216" t="str">
        <f>IFERROR(VLOOKUP($I127,'Institution Evaluation'!$A$55:$F$346,3,0),IFERROR(VLOOKUP($I127,'Privacy Analyst Evaluation'!$A$46:$F$120,3,0),""))&amp;""</f>
        <v/>
      </c>
      <c r="L127" s="216" t="str">
        <f>IFERROR(VLOOKUP($I127,'Institution Evaluation'!$A$55:$F$346,4,0),IFERROR(VLOOKUP($I127,'Privacy Analyst Evaluation'!$A$46:$F$120,4,0),""))&amp;""</f>
        <v/>
      </c>
      <c r="M127" s="216" t="str">
        <f>IFERROR(VLOOKUP($I127,'Institution Evaluation'!$A$55:$F$346,6,0),IFERROR(VLOOKUP($I127,'Privacy Analyst Evaluation'!$A$46:$F$120,6,0),""))&amp;""</f>
        <v/>
      </c>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row>
    <row r="128" spans="1:338" x14ac:dyDescent="0.3">
      <c r="A128" s="216" t="str">
        <f>IFERROR(IF($A127+1&gt;'(backend scoring)'!$T$335,"",$A127+1),"")</f>
        <v/>
      </c>
      <c r="B128" s="216" t="str">
        <f>_xlfn.XLOOKUP($A128,'(backend scoring)'!$V$2:$V$333,'(backend scoring)'!$A$2:$A$333,"")</f>
        <v/>
      </c>
      <c r="C128" s="216" t="str">
        <f>IFERROR(VLOOKUP($B128,'Institution Evaluation'!$A$55:$F$346,2,0),IFERROR(VLOOKUP($B128,'Privacy Analyst Evaluation'!$A$46:$F$120,2,0),""))&amp;""</f>
        <v/>
      </c>
      <c r="D128" s="216" t="str">
        <f>IFERROR(VLOOKUP($B128,'Institution Evaluation'!$A$55:$F$346,3,0),IFERROR(VLOOKUP($B128,'Privacy Analyst Evaluation'!$A$46:$F$120,3,0),""))&amp;""</f>
        <v/>
      </c>
      <c r="E128" s="216" t="str">
        <f>IFERROR(VLOOKUP($B128,'Institution Evaluation'!$A$55:$F$346,4,0),IFERROR(VLOOKUP($B128,'Privacy Analyst Evaluation'!$A$46:$F$120,4,0),""))&amp;""</f>
        <v/>
      </c>
      <c r="F128" s="216" t="str">
        <f>IFERROR(VLOOKUP($B128,'Institution Evaluation'!$A$55:$F$346,6,0),IFERROR(VLOOKUP($B128,'Privacy Analyst Evaluation'!$A$46:$F$120,6,0),""))&amp;""</f>
        <v/>
      </c>
      <c r="G128" s="217"/>
      <c r="H128" s="216" t="str">
        <f>IFERROR(IF($H127+1&gt;'(backend scoring)'!$Q$335,"",$H127+1),"")</f>
        <v/>
      </c>
      <c r="I128" s="216" t="str">
        <f>_xlfn.XLOOKUP($H128,'(backend scoring)'!$S$2:$S$333,'(backend scoring)'!$A$2:$A$333,"")</f>
        <v/>
      </c>
      <c r="J128" s="216" t="str">
        <f>IFERROR(VLOOKUP($I128,'Institution Evaluation'!$A$55:$F$346,2,0),IFERROR(VLOOKUP($I128,'Privacy Analyst Evaluation'!$A$46:$F$120,2,0),""))</f>
        <v/>
      </c>
      <c r="K128" s="216" t="str">
        <f>IFERROR(VLOOKUP($I128,'Institution Evaluation'!$A$55:$F$346,3,0),IFERROR(VLOOKUP($I128,'Privacy Analyst Evaluation'!$A$46:$F$120,3,0),""))&amp;""</f>
        <v/>
      </c>
      <c r="L128" s="216" t="str">
        <f>IFERROR(VLOOKUP($I128,'Institution Evaluation'!$A$55:$F$346,4,0),IFERROR(VLOOKUP($I128,'Privacy Analyst Evaluation'!$A$46:$F$120,4,0),""))&amp;""</f>
        <v/>
      </c>
      <c r="M128" s="216" t="str">
        <f>IFERROR(VLOOKUP($I128,'Institution Evaluation'!$A$55:$F$346,6,0),IFERROR(VLOOKUP($I128,'Privacy Analyst Evaluation'!$A$46:$F$120,6,0),""))&amp;""</f>
        <v/>
      </c>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row>
    <row r="129" spans="1:338" x14ac:dyDescent="0.3">
      <c r="A129" s="216" t="str">
        <f>IFERROR(IF($A128+1&gt;'(backend scoring)'!$T$335,"",$A128+1),"")</f>
        <v/>
      </c>
      <c r="B129" s="216" t="str">
        <f>_xlfn.XLOOKUP($A129,'(backend scoring)'!$V$2:$V$333,'(backend scoring)'!$A$2:$A$333,"")</f>
        <v/>
      </c>
      <c r="C129" s="216" t="str">
        <f>IFERROR(VLOOKUP($B129,'Institution Evaluation'!$A$55:$F$346,2,0),IFERROR(VLOOKUP($B129,'Privacy Analyst Evaluation'!$A$46:$F$120,2,0),""))&amp;""</f>
        <v/>
      </c>
      <c r="D129" s="216" t="str">
        <f>IFERROR(VLOOKUP($B129,'Institution Evaluation'!$A$55:$F$346,3,0),IFERROR(VLOOKUP($B129,'Privacy Analyst Evaluation'!$A$46:$F$120,3,0),""))&amp;""</f>
        <v/>
      </c>
      <c r="E129" s="216" t="str">
        <f>IFERROR(VLOOKUP($B129,'Institution Evaluation'!$A$55:$F$346,4,0),IFERROR(VLOOKUP($B129,'Privacy Analyst Evaluation'!$A$46:$F$120,4,0),""))&amp;""</f>
        <v/>
      </c>
      <c r="F129" s="216" t="str">
        <f>IFERROR(VLOOKUP($B129,'Institution Evaluation'!$A$55:$F$346,6,0),IFERROR(VLOOKUP($B129,'Privacy Analyst Evaluation'!$A$46:$F$120,6,0),""))&amp;""</f>
        <v/>
      </c>
      <c r="G129" s="217"/>
      <c r="H129" s="216" t="str">
        <f>IFERROR(IF($H128+1&gt;'(backend scoring)'!$Q$335,"",$H128+1),"")</f>
        <v/>
      </c>
      <c r="I129" s="216" t="str">
        <f>_xlfn.XLOOKUP($H129,'(backend scoring)'!$S$2:$S$333,'(backend scoring)'!$A$2:$A$333,"")</f>
        <v/>
      </c>
      <c r="J129" s="216" t="str">
        <f>IFERROR(VLOOKUP($I129,'Institution Evaluation'!$A$55:$F$346,2,0),IFERROR(VLOOKUP($I129,'Privacy Analyst Evaluation'!$A$46:$F$120,2,0),""))</f>
        <v/>
      </c>
      <c r="K129" s="216" t="str">
        <f>IFERROR(VLOOKUP($I129,'Institution Evaluation'!$A$55:$F$346,3,0),IFERROR(VLOOKUP($I129,'Privacy Analyst Evaluation'!$A$46:$F$120,3,0),""))&amp;""</f>
        <v/>
      </c>
      <c r="L129" s="216" t="str">
        <f>IFERROR(VLOOKUP($I129,'Institution Evaluation'!$A$55:$F$346,4,0),IFERROR(VLOOKUP($I129,'Privacy Analyst Evaluation'!$A$46:$F$120,4,0),""))&amp;""</f>
        <v/>
      </c>
      <c r="M129" s="216" t="str">
        <f>IFERROR(VLOOKUP($I129,'Institution Evaluation'!$A$55:$F$346,6,0),IFERROR(VLOOKUP($I129,'Privacy Analyst Evaluation'!$A$46:$F$120,6,0),""))&amp;""</f>
        <v/>
      </c>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row>
    <row r="130" spans="1:338" x14ac:dyDescent="0.3">
      <c r="A130" s="216" t="str">
        <f>IFERROR(IF($A129+1&gt;'(backend scoring)'!$T$335,"",$A129+1),"")</f>
        <v/>
      </c>
      <c r="B130" s="216" t="str">
        <f>_xlfn.XLOOKUP($A130,'(backend scoring)'!$V$2:$V$333,'(backend scoring)'!$A$2:$A$333,"")</f>
        <v/>
      </c>
      <c r="C130" s="216" t="str">
        <f>IFERROR(VLOOKUP($B130,'Institution Evaluation'!$A$55:$F$346,2,0),IFERROR(VLOOKUP($B130,'Privacy Analyst Evaluation'!$A$46:$F$120,2,0),""))&amp;""</f>
        <v/>
      </c>
      <c r="D130" s="216" t="str">
        <f>IFERROR(VLOOKUP($B130,'Institution Evaluation'!$A$55:$F$346,3,0),IFERROR(VLOOKUP($B130,'Privacy Analyst Evaluation'!$A$46:$F$120,3,0),""))&amp;""</f>
        <v/>
      </c>
      <c r="E130" s="216" t="str">
        <f>IFERROR(VLOOKUP($B130,'Institution Evaluation'!$A$55:$F$346,4,0),IFERROR(VLOOKUP($B130,'Privacy Analyst Evaluation'!$A$46:$F$120,4,0),""))&amp;""</f>
        <v/>
      </c>
      <c r="F130" s="216" t="str">
        <f>IFERROR(VLOOKUP($B130,'Institution Evaluation'!$A$55:$F$346,6,0),IFERROR(VLOOKUP($B130,'Privacy Analyst Evaluation'!$A$46:$F$120,6,0),""))&amp;""</f>
        <v/>
      </c>
      <c r="G130" s="217"/>
      <c r="H130" s="216" t="str">
        <f>IFERROR(IF($H129+1&gt;'(backend scoring)'!$Q$335,"",$H129+1),"")</f>
        <v/>
      </c>
      <c r="I130" s="216" t="str">
        <f>_xlfn.XLOOKUP($H130,'(backend scoring)'!$S$2:$S$333,'(backend scoring)'!$A$2:$A$333,"")</f>
        <v/>
      </c>
      <c r="J130" s="216" t="str">
        <f>IFERROR(VLOOKUP($I130,'Institution Evaluation'!$A$55:$F$346,2,0),IFERROR(VLOOKUP($I130,'Privacy Analyst Evaluation'!$A$46:$F$120,2,0),""))</f>
        <v/>
      </c>
      <c r="K130" s="216" t="str">
        <f>IFERROR(VLOOKUP($I130,'Institution Evaluation'!$A$55:$F$346,3,0),IFERROR(VLOOKUP($I130,'Privacy Analyst Evaluation'!$A$46:$F$120,3,0),""))&amp;""</f>
        <v/>
      </c>
      <c r="L130" s="216" t="str">
        <f>IFERROR(VLOOKUP($I130,'Institution Evaluation'!$A$55:$F$346,4,0),IFERROR(VLOOKUP($I130,'Privacy Analyst Evaluation'!$A$46:$F$120,4,0),""))&amp;""</f>
        <v/>
      </c>
      <c r="M130" s="216" t="str">
        <f>IFERROR(VLOOKUP($I130,'Institution Evaluation'!$A$55:$F$346,6,0),IFERROR(VLOOKUP($I130,'Privacy Analyst Evaluation'!$A$46:$F$120,6,0),""))&amp;""</f>
        <v/>
      </c>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row>
    <row r="131" spans="1:338" x14ac:dyDescent="0.3">
      <c r="A131" s="216" t="str">
        <f>IFERROR(IF($A130+1&gt;'(backend scoring)'!$T$335,"",$A130+1),"")</f>
        <v/>
      </c>
      <c r="B131" s="216" t="str">
        <f>_xlfn.XLOOKUP($A131,'(backend scoring)'!$V$2:$V$333,'(backend scoring)'!$A$2:$A$333,"")</f>
        <v/>
      </c>
      <c r="C131" s="216" t="str">
        <f>IFERROR(VLOOKUP($B131,'Institution Evaluation'!$A$55:$F$346,2,0),IFERROR(VLOOKUP($B131,'Privacy Analyst Evaluation'!$A$46:$F$120,2,0),""))&amp;""</f>
        <v/>
      </c>
      <c r="D131" s="216" t="str">
        <f>IFERROR(VLOOKUP($B131,'Institution Evaluation'!$A$55:$F$346,3,0),IFERROR(VLOOKUP($B131,'Privacy Analyst Evaluation'!$A$46:$F$120,3,0),""))&amp;""</f>
        <v/>
      </c>
      <c r="E131" s="216" t="str">
        <f>IFERROR(VLOOKUP($B131,'Institution Evaluation'!$A$55:$F$346,4,0),IFERROR(VLOOKUP($B131,'Privacy Analyst Evaluation'!$A$46:$F$120,4,0),""))&amp;""</f>
        <v/>
      </c>
      <c r="F131" s="216" t="str">
        <f>IFERROR(VLOOKUP($B131,'Institution Evaluation'!$A$55:$F$346,6,0),IFERROR(VLOOKUP($B131,'Privacy Analyst Evaluation'!$A$46:$F$120,6,0),""))&amp;""</f>
        <v/>
      </c>
      <c r="G131" s="217"/>
      <c r="H131" s="216" t="str">
        <f>IFERROR(IF($H130+1&gt;'(backend scoring)'!$Q$335,"",$H130+1),"")</f>
        <v/>
      </c>
      <c r="I131" s="216" t="str">
        <f>_xlfn.XLOOKUP($H131,'(backend scoring)'!$S$2:$S$333,'(backend scoring)'!$A$2:$A$333,"")</f>
        <v/>
      </c>
      <c r="J131" s="216" t="str">
        <f>IFERROR(VLOOKUP($I131,'Institution Evaluation'!$A$55:$F$346,2,0),IFERROR(VLOOKUP($I131,'Privacy Analyst Evaluation'!$A$46:$F$120,2,0),""))</f>
        <v/>
      </c>
      <c r="K131" s="216" t="str">
        <f>IFERROR(VLOOKUP($I131,'Institution Evaluation'!$A$55:$F$346,3,0),IFERROR(VLOOKUP($I131,'Privacy Analyst Evaluation'!$A$46:$F$120,3,0),""))&amp;""</f>
        <v/>
      </c>
      <c r="L131" s="216" t="str">
        <f>IFERROR(VLOOKUP($I131,'Institution Evaluation'!$A$55:$F$346,4,0),IFERROR(VLOOKUP($I131,'Privacy Analyst Evaluation'!$A$46:$F$120,4,0),""))&amp;""</f>
        <v/>
      </c>
      <c r="M131" s="216" t="str">
        <f>IFERROR(VLOOKUP($I131,'Institution Evaluation'!$A$55:$F$346,6,0),IFERROR(VLOOKUP($I131,'Privacy Analyst Evaluation'!$A$46:$F$120,6,0),""))&amp;""</f>
        <v/>
      </c>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row>
    <row r="132" spans="1:338" x14ac:dyDescent="0.3">
      <c r="A132" s="216" t="str">
        <f>IFERROR(IF($A131+1&gt;'(backend scoring)'!$T$335,"",$A131+1),"")</f>
        <v/>
      </c>
      <c r="B132" s="216" t="str">
        <f>_xlfn.XLOOKUP($A132,'(backend scoring)'!$V$2:$V$333,'(backend scoring)'!$A$2:$A$333,"")</f>
        <v/>
      </c>
      <c r="C132" s="216" t="str">
        <f>IFERROR(VLOOKUP($B132,'Institution Evaluation'!$A$55:$F$346,2,0),IFERROR(VLOOKUP($B132,'Privacy Analyst Evaluation'!$A$46:$F$120,2,0),""))&amp;""</f>
        <v/>
      </c>
      <c r="D132" s="216" t="str">
        <f>IFERROR(VLOOKUP($B132,'Institution Evaluation'!$A$55:$F$346,3,0),IFERROR(VLOOKUP($B132,'Privacy Analyst Evaluation'!$A$46:$F$120,3,0),""))&amp;""</f>
        <v/>
      </c>
      <c r="E132" s="216" t="str">
        <f>IFERROR(VLOOKUP($B132,'Institution Evaluation'!$A$55:$F$346,4,0),IFERROR(VLOOKUP($B132,'Privacy Analyst Evaluation'!$A$46:$F$120,4,0),""))&amp;""</f>
        <v/>
      </c>
      <c r="F132" s="216" t="str">
        <f>IFERROR(VLOOKUP($B132,'Institution Evaluation'!$A$55:$F$346,6,0),IFERROR(VLOOKUP($B132,'Privacy Analyst Evaluation'!$A$46:$F$120,6,0),""))&amp;""</f>
        <v/>
      </c>
      <c r="G132" s="217"/>
      <c r="H132" s="216" t="str">
        <f>IFERROR(IF($H131+1&gt;'(backend scoring)'!$Q$335,"",$H131+1),"")</f>
        <v/>
      </c>
      <c r="I132" s="216" t="str">
        <f>_xlfn.XLOOKUP($H132,'(backend scoring)'!$S$2:$S$333,'(backend scoring)'!$A$2:$A$333,"")</f>
        <v/>
      </c>
      <c r="J132" s="216" t="str">
        <f>IFERROR(VLOOKUP($I132,'Institution Evaluation'!$A$55:$F$346,2,0),IFERROR(VLOOKUP($I132,'Privacy Analyst Evaluation'!$A$46:$F$120,2,0),""))</f>
        <v/>
      </c>
      <c r="K132" s="216" t="str">
        <f>IFERROR(VLOOKUP($I132,'Institution Evaluation'!$A$55:$F$346,3,0),IFERROR(VLOOKUP($I132,'Privacy Analyst Evaluation'!$A$46:$F$120,3,0),""))&amp;""</f>
        <v/>
      </c>
      <c r="L132" s="216" t="str">
        <f>IFERROR(VLOOKUP($I132,'Institution Evaluation'!$A$55:$F$346,4,0),IFERROR(VLOOKUP($I132,'Privacy Analyst Evaluation'!$A$46:$F$120,4,0),""))&amp;""</f>
        <v/>
      </c>
      <c r="M132" s="216" t="str">
        <f>IFERROR(VLOOKUP($I132,'Institution Evaluation'!$A$55:$F$346,6,0),IFERROR(VLOOKUP($I132,'Privacy Analyst Evaluation'!$A$46:$F$120,6,0),""))&amp;""</f>
        <v/>
      </c>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row>
    <row r="133" spans="1:338" x14ac:dyDescent="0.3">
      <c r="A133" s="216" t="str">
        <f>IFERROR(IF($A132+1&gt;'(backend scoring)'!$T$335,"",$A132+1),"")</f>
        <v/>
      </c>
      <c r="B133" s="216" t="str">
        <f>_xlfn.XLOOKUP($A133,'(backend scoring)'!$V$2:$V$333,'(backend scoring)'!$A$2:$A$333,"")</f>
        <v/>
      </c>
      <c r="C133" s="216" t="str">
        <f>IFERROR(VLOOKUP($B133,'Institution Evaluation'!$A$55:$F$346,2,0),IFERROR(VLOOKUP($B133,'Privacy Analyst Evaluation'!$A$46:$F$120,2,0),""))&amp;""</f>
        <v/>
      </c>
      <c r="D133" s="216" t="str">
        <f>IFERROR(VLOOKUP($B133,'Institution Evaluation'!$A$55:$F$346,3,0),IFERROR(VLOOKUP($B133,'Privacy Analyst Evaluation'!$A$46:$F$120,3,0),""))&amp;""</f>
        <v/>
      </c>
      <c r="E133" s="216" t="str">
        <f>IFERROR(VLOOKUP($B133,'Institution Evaluation'!$A$55:$F$346,4,0),IFERROR(VLOOKUP($B133,'Privacy Analyst Evaluation'!$A$46:$F$120,4,0),""))&amp;""</f>
        <v/>
      </c>
      <c r="F133" s="216" t="str">
        <f>IFERROR(VLOOKUP($B133,'Institution Evaluation'!$A$55:$F$346,6,0),IFERROR(VLOOKUP($B133,'Privacy Analyst Evaluation'!$A$46:$F$120,6,0),""))&amp;""</f>
        <v/>
      </c>
      <c r="G133" s="217"/>
      <c r="H133" s="216" t="str">
        <f>IFERROR(IF($H132+1&gt;'(backend scoring)'!$Q$335,"",$H132+1),"")</f>
        <v/>
      </c>
      <c r="I133" s="216" t="str">
        <f>_xlfn.XLOOKUP($H133,'(backend scoring)'!$S$2:$S$333,'(backend scoring)'!$A$2:$A$333,"")</f>
        <v/>
      </c>
      <c r="J133" s="216" t="str">
        <f>IFERROR(VLOOKUP($I133,'Institution Evaluation'!$A$55:$F$346,2,0),IFERROR(VLOOKUP($I133,'Privacy Analyst Evaluation'!$A$46:$F$120,2,0),""))</f>
        <v/>
      </c>
      <c r="K133" s="216" t="str">
        <f>IFERROR(VLOOKUP($I133,'Institution Evaluation'!$A$55:$F$346,3,0),IFERROR(VLOOKUP($I133,'Privacy Analyst Evaluation'!$A$46:$F$120,3,0),""))&amp;""</f>
        <v/>
      </c>
      <c r="L133" s="216" t="str">
        <f>IFERROR(VLOOKUP($I133,'Institution Evaluation'!$A$55:$F$346,4,0),IFERROR(VLOOKUP($I133,'Privacy Analyst Evaluation'!$A$46:$F$120,4,0),""))&amp;""</f>
        <v/>
      </c>
      <c r="M133" s="216" t="str">
        <f>IFERROR(VLOOKUP($I133,'Institution Evaluation'!$A$55:$F$346,6,0),IFERROR(VLOOKUP($I133,'Privacy Analyst Evaluation'!$A$46:$F$120,6,0),""))&amp;""</f>
        <v/>
      </c>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row>
    <row r="134" spans="1:338" x14ac:dyDescent="0.3">
      <c r="A134" s="216" t="str">
        <f>IFERROR(IF($A133+1&gt;'(backend scoring)'!$T$335,"",$A133+1),"")</f>
        <v/>
      </c>
      <c r="B134" s="216" t="str">
        <f>_xlfn.XLOOKUP($A134,'(backend scoring)'!$V$2:$V$333,'(backend scoring)'!$A$2:$A$333,"")</f>
        <v/>
      </c>
      <c r="C134" s="216" t="str">
        <f>IFERROR(VLOOKUP($B134,'Institution Evaluation'!$A$55:$F$346,2,0),IFERROR(VLOOKUP($B134,'Privacy Analyst Evaluation'!$A$46:$F$120,2,0),""))&amp;""</f>
        <v/>
      </c>
      <c r="D134" s="216" t="str">
        <f>IFERROR(VLOOKUP($B134,'Institution Evaluation'!$A$55:$F$346,3,0),IFERROR(VLOOKUP($B134,'Privacy Analyst Evaluation'!$A$46:$F$120,3,0),""))&amp;""</f>
        <v/>
      </c>
      <c r="E134" s="216" t="str">
        <f>IFERROR(VLOOKUP($B134,'Institution Evaluation'!$A$55:$F$346,4,0),IFERROR(VLOOKUP($B134,'Privacy Analyst Evaluation'!$A$46:$F$120,4,0),""))&amp;""</f>
        <v/>
      </c>
      <c r="F134" s="216" t="str">
        <f>IFERROR(VLOOKUP($B134,'Institution Evaluation'!$A$55:$F$346,6,0),IFERROR(VLOOKUP($B134,'Privacy Analyst Evaluation'!$A$46:$F$120,6,0),""))&amp;""</f>
        <v/>
      </c>
      <c r="G134" s="217"/>
      <c r="H134" s="216" t="str">
        <f>IFERROR(IF($H133+1&gt;'(backend scoring)'!$Q$335,"",$H133+1),"")</f>
        <v/>
      </c>
      <c r="I134" s="216" t="str">
        <f>_xlfn.XLOOKUP($H134,'(backend scoring)'!$S$2:$S$333,'(backend scoring)'!$A$2:$A$333,"")</f>
        <v/>
      </c>
      <c r="J134" s="216" t="str">
        <f>IFERROR(VLOOKUP($I134,'Institution Evaluation'!$A$55:$F$346,2,0),IFERROR(VLOOKUP($I134,'Privacy Analyst Evaluation'!$A$46:$F$120,2,0),""))</f>
        <v/>
      </c>
      <c r="K134" s="216" t="str">
        <f>IFERROR(VLOOKUP($I134,'Institution Evaluation'!$A$55:$F$346,3,0),IFERROR(VLOOKUP($I134,'Privacy Analyst Evaluation'!$A$46:$F$120,3,0),""))&amp;""</f>
        <v/>
      </c>
      <c r="L134" s="216" t="str">
        <f>IFERROR(VLOOKUP($I134,'Institution Evaluation'!$A$55:$F$346,4,0),IFERROR(VLOOKUP($I134,'Privacy Analyst Evaluation'!$A$46:$F$120,4,0),""))&amp;""</f>
        <v/>
      </c>
      <c r="M134" s="216" t="str">
        <f>IFERROR(VLOOKUP($I134,'Institution Evaluation'!$A$55:$F$346,6,0),IFERROR(VLOOKUP($I134,'Privacy Analyst Evaluation'!$A$46:$F$120,6,0),""))&amp;""</f>
        <v/>
      </c>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row>
    <row r="135" spans="1:338" x14ac:dyDescent="0.3">
      <c r="A135" s="216" t="str">
        <f>IFERROR(IF($A134+1&gt;'(backend scoring)'!$T$335,"",$A134+1),"")</f>
        <v/>
      </c>
      <c r="B135" s="216" t="str">
        <f>_xlfn.XLOOKUP($A135,'(backend scoring)'!$V$2:$V$333,'(backend scoring)'!$A$2:$A$333,"")</f>
        <v/>
      </c>
      <c r="C135" s="216" t="str">
        <f>IFERROR(VLOOKUP($B135,'Institution Evaluation'!$A$55:$F$346,2,0),IFERROR(VLOOKUP($B135,'Privacy Analyst Evaluation'!$A$46:$F$120,2,0),""))&amp;""</f>
        <v/>
      </c>
      <c r="D135" s="216" t="str">
        <f>IFERROR(VLOOKUP($B135,'Institution Evaluation'!$A$55:$F$346,3,0),IFERROR(VLOOKUP($B135,'Privacy Analyst Evaluation'!$A$46:$F$120,3,0),""))&amp;""</f>
        <v/>
      </c>
      <c r="E135" s="216" t="str">
        <f>IFERROR(VLOOKUP($B135,'Institution Evaluation'!$A$55:$F$346,4,0),IFERROR(VLOOKUP($B135,'Privacy Analyst Evaluation'!$A$46:$F$120,4,0),""))&amp;""</f>
        <v/>
      </c>
      <c r="F135" s="216" t="str">
        <f>IFERROR(VLOOKUP($B135,'Institution Evaluation'!$A$55:$F$346,6,0),IFERROR(VLOOKUP($B135,'Privacy Analyst Evaluation'!$A$46:$F$120,6,0),""))&amp;""</f>
        <v/>
      </c>
      <c r="G135" s="217"/>
      <c r="H135" s="216" t="str">
        <f>IFERROR(IF($H134+1&gt;'(backend scoring)'!$Q$335,"",$H134+1),"")</f>
        <v/>
      </c>
      <c r="I135" s="216" t="str">
        <f>_xlfn.XLOOKUP($H135,'(backend scoring)'!$S$2:$S$333,'(backend scoring)'!$A$2:$A$333,"")</f>
        <v/>
      </c>
      <c r="J135" s="216" t="str">
        <f>IFERROR(VLOOKUP($I135,'Institution Evaluation'!$A$55:$F$346,2,0),IFERROR(VLOOKUP($I135,'Privacy Analyst Evaluation'!$A$46:$F$120,2,0),""))</f>
        <v/>
      </c>
      <c r="K135" s="216" t="str">
        <f>IFERROR(VLOOKUP($I135,'Institution Evaluation'!$A$55:$F$346,3,0),IFERROR(VLOOKUP($I135,'Privacy Analyst Evaluation'!$A$46:$F$120,3,0),""))&amp;""</f>
        <v/>
      </c>
      <c r="L135" s="216" t="str">
        <f>IFERROR(VLOOKUP($I135,'Institution Evaluation'!$A$55:$F$346,4,0),IFERROR(VLOOKUP($I135,'Privacy Analyst Evaluation'!$A$46:$F$120,4,0),""))&amp;""</f>
        <v/>
      </c>
      <c r="M135" s="216" t="str">
        <f>IFERROR(VLOOKUP($I135,'Institution Evaluation'!$A$55:$F$346,6,0),IFERROR(VLOOKUP($I135,'Privacy Analyst Evaluation'!$A$46:$F$120,6,0),""))&amp;""</f>
        <v/>
      </c>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row>
    <row r="136" spans="1:338" x14ac:dyDescent="0.3">
      <c r="A136" s="216" t="str">
        <f>IFERROR(IF($A135+1&gt;'(backend scoring)'!$T$335,"",$A135+1),"")</f>
        <v/>
      </c>
      <c r="B136" s="216" t="str">
        <f>_xlfn.XLOOKUP($A136,'(backend scoring)'!$V$2:$V$333,'(backend scoring)'!$A$2:$A$333,"")</f>
        <v/>
      </c>
      <c r="C136" s="216" t="str">
        <f>IFERROR(VLOOKUP($B136,'Institution Evaluation'!$A$55:$F$346,2,0),IFERROR(VLOOKUP($B136,'Privacy Analyst Evaluation'!$A$46:$F$120,2,0),""))&amp;""</f>
        <v/>
      </c>
      <c r="D136" s="216" t="str">
        <f>IFERROR(VLOOKUP($B136,'Institution Evaluation'!$A$55:$F$346,3,0),IFERROR(VLOOKUP($B136,'Privacy Analyst Evaluation'!$A$46:$F$120,3,0),""))&amp;""</f>
        <v/>
      </c>
      <c r="E136" s="216" t="str">
        <f>IFERROR(VLOOKUP($B136,'Institution Evaluation'!$A$55:$F$346,4,0),IFERROR(VLOOKUP($B136,'Privacy Analyst Evaluation'!$A$46:$F$120,4,0),""))&amp;""</f>
        <v/>
      </c>
      <c r="F136" s="216" t="str">
        <f>IFERROR(VLOOKUP($B136,'Institution Evaluation'!$A$55:$F$346,6,0),IFERROR(VLOOKUP($B136,'Privacy Analyst Evaluation'!$A$46:$F$120,6,0),""))&amp;""</f>
        <v/>
      </c>
      <c r="G136" s="217"/>
      <c r="H136" s="216" t="str">
        <f>IFERROR(IF($H135+1&gt;'(backend scoring)'!$Q$335,"",$H135+1),"")</f>
        <v/>
      </c>
      <c r="I136" s="216" t="str">
        <f>_xlfn.XLOOKUP($H136,'(backend scoring)'!$S$2:$S$333,'(backend scoring)'!$A$2:$A$333,"")</f>
        <v/>
      </c>
      <c r="J136" s="216" t="str">
        <f>IFERROR(VLOOKUP($I136,'Institution Evaluation'!$A$55:$F$346,2,0),IFERROR(VLOOKUP($I136,'Privacy Analyst Evaluation'!$A$46:$F$120,2,0),""))</f>
        <v/>
      </c>
      <c r="K136" s="216" t="str">
        <f>IFERROR(VLOOKUP($I136,'Institution Evaluation'!$A$55:$F$346,3,0),IFERROR(VLOOKUP($I136,'Privacy Analyst Evaluation'!$A$46:$F$120,3,0),""))&amp;""</f>
        <v/>
      </c>
      <c r="L136" s="216" t="str">
        <f>IFERROR(VLOOKUP($I136,'Institution Evaluation'!$A$55:$F$346,4,0),IFERROR(VLOOKUP($I136,'Privacy Analyst Evaluation'!$A$46:$F$120,4,0),""))&amp;""</f>
        <v/>
      </c>
      <c r="M136" s="216" t="str">
        <f>IFERROR(VLOOKUP($I136,'Institution Evaluation'!$A$55:$F$346,6,0),IFERROR(VLOOKUP($I136,'Privacy Analyst Evaluation'!$A$46:$F$120,6,0),""))&amp;""</f>
        <v/>
      </c>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row>
    <row r="137" spans="1:338" x14ac:dyDescent="0.3">
      <c r="A137" s="216" t="str">
        <f>IFERROR(IF($A136+1&gt;'(backend scoring)'!$T$335,"",$A136+1),"")</f>
        <v/>
      </c>
      <c r="B137" s="216" t="str">
        <f>_xlfn.XLOOKUP($A137,'(backend scoring)'!$V$2:$V$333,'(backend scoring)'!$A$2:$A$333,"")</f>
        <v/>
      </c>
      <c r="C137" s="216" t="str">
        <f>IFERROR(VLOOKUP($B137,'Institution Evaluation'!$A$55:$F$346,2,0),IFERROR(VLOOKUP($B137,'Privacy Analyst Evaluation'!$A$46:$F$120,2,0),""))&amp;""</f>
        <v/>
      </c>
      <c r="D137" s="216" t="str">
        <f>IFERROR(VLOOKUP($B137,'Institution Evaluation'!$A$55:$F$346,3,0),IFERROR(VLOOKUP($B137,'Privacy Analyst Evaluation'!$A$46:$F$120,3,0),""))&amp;""</f>
        <v/>
      </c>
      <c r="E137" s="216" t="str">
        <f>IFERROR(VLOOKUP($B137,'Institution Evaluation'!$A$55:$F$346,4,0),IFERROR(VLOOKUP($B137,'Privacy Analyst Evaluation'!$A$46:$F$120,4,0),""))&amp;""</f>
        <v/>
      </c>
      <c r="F137" s="216" t="str">
        <f>IFERROR(VLOOKUP($B137,'Institution Evaluation'!$A$55:$F$346,6,0),IFERROR(VLOOKUP($B137,'Privacy Analyst Evaluation'!$A$46:$F$120,6,0),""))&amp;""</f>
        <v/>
      </c>
      <c r="G137" s="217"/>
      <c r="H137" s="216" t="str">
        <f>IFERROR(IF($H136+1&gt;'(backend scoring)'!$Q$335,"",$H136+1),"")</f>
        <v/>
      </c>
      <c r="I137" s="216" t="str">
        <f>_xlfn.XLOOKUP($H137,'(backend scoring)'!$S$2:$S$333,'(backend scoring)'!$A$2:$A$333,"")</f>
        <v/>
      </c>
      <c r="J137" s="216" t="str">
        <f>IFERROR(VLOOKUP($I137,'Institution Evaluation'!$A$55:$F$346,2,0),IFERROR(VLOOKUP($I137,'Privacy Analyst Evaluation'!$A$46:$F$120,2,0),""))</f>
        <v/>
      </c>
      <c r="K137" s="216" t="str">
        <f>IFERROR(VLOOKUP($I137,'Institution Evaluation'!$A$55:$F$346,3,0),IFERROR(VLOOKUP($I137,'Privacy Analyst Evaluation'!$A$46:$F$120,3,0),""))&amp;""</f>
        <v/>
      </c>
      <c r="L137" s="216" t="str">
        <f>IFERROR(VLOOKUP($I137,'Institution Evaluation'!$A$55:$F$346,4,0),IFERROR(VLOOKUP($I137,'Privacy Analyst Evaluation'!$A$46:$F$120,4,0),""))&amp;""</f>
        <v/>
      </c>
      <c r="M137" s="216" t="str">
        <f>IFERROR(VLOOKUP($I137,'Institution Evaluation'!$A$55:$F$346,6,0),IFERROR(VLOOKUP($I137,'Privacy Analyst Evaluation'!$A$46:$F$120,6,0),""))&amp;""</f>
        <v/>
      </c>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row>
    <row r="138" spans="1:338" x14ac:dyDescent="0.3">
      <c r="A138" s="216" t="str">
        <f>IFERROR(IF($A137+1&gt;'(backend scoring)'!$T$335,"",$A137+1),"")</f>
        <v/>
      </c>
      <c r="B138" s="216" t="str">
        <f>_xlfn.XLOOKUP($A138,'(backend scoring)'!$V$2:$V$333,'(backend scoring)'!$A$2:$A$333,"")</f>
        <v/>
      </c>
      <c r="C138" s="216" t="str">
        <f>IFERROR(VLOOKUP($B138,'Institution Evaluation'!$A$55:$F$346,2,0),IFERROR(VLOOKUP($B138,'Privacy Analyst Evaluation'!$A$46:$F$120,2,0),""))&amp;""</f>
        <v/>
      </c>
      <c r="D138" s="216" t="str">
        <f>IFERROR(VLOOKUP($B138,'Institution Evaluation'!$A$55:$F$346,3,0),IFERROR(VLOOKUP($B138,'Privacy Analyst Evaluation'!$A$46:$F$120,3,0),""))&amp;""</f>
        <v/>
      </c>
      <c r="E138" s="216" t="str">
        <f>IFERROR(VLOOKUP($B138,'Institution Evaluation'!$A$55:$F$346,4,0),IFERROR(VLOOKUP($B138,'Privacy Analyst Evaluation'!$A$46:$F$120,4,0),""))&amp;""</f>
        <v/>
      </c>
      <c r="F138" s="216" t="str">
        <f>IFERROR(VLOOKUP($B138,'Institution Evaluation'!$A$55:$F$346,6,0),IFERROR(VLOOKUP($B138,'Privacy Analyst Evaluation'!$A$46:$F$120,6,0),""))&amp;""</f>
        <v/>
      </c>
      <c r="G138" s="217"/>
      <c r="H138" s="216" t="str">
        <f>IFERROR(IF($H137+1&gt;'(backend scoring)'!$Q$335,"",$H137+1),"")</f>
        <v/>
      </c>
      <c r="I138" s="216" t="str">
        <f>_xlfn.XLOOKUP($H138,'(backend scoring)'!$S$2:$S$333,'(backend scoring)'!$A$2:$A$333,"")</f>
        <v/>
      </c>
      <c r="J138" s="216" t="str">
        <f>IFERROR(VLOOKUP($I138,'Institution Evaluation'!$A$55:$F$346,2,0),IFERROR(VLOOKUP($I138,'Privacy Analyst Evaluation'!$A$46:$F$120,2,0),""))</f>
        <v/>
      </c>
      <c r="K138" s="216" t="str">
        <f>IFERROR(VLOOKUP($I138,'Institution Evaluation'!$A$55:$F$346,3,0),IFERROR(VLOOKUP($I138,'Privacy Analyst Evaluation'!$A$46:$F$120,3,0),""))&amp;""</f>
        <v/>
      </c>
      <c r="L138" s="216" t="str">
        <f>IFERROR(VLOOKUP($I138,'Institution Evaluation'!$A$55:$F$346,4,0),IFERROR(VLOOKUP($I138,'Privacy Analyst Evaluation'!$A$46:$F$120,4,0),""))&amp;""</f>
        <v/>
      </c>
      <c r="M138" s="216" t="str">
        <f>IFERROR(VLOOKUP($I138,'Institution Evaluation'!$A$55:$F$346,6,0),IFERROR(VLOOKUP($I138,'Privacy Analyst Evaluation'!$A$46:$F$120,6,0),""))&amp;""</f>
        <v/>
      </c>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row>
    <row r="139" spans="1:338" x14ac:dyDescent="0.3">
      <c r="A139" s="216" t="str">
        <f>IFERROR(IF($A138+1&gt;'(backend scoring)'!$T$335,"",$A138+1),"")</f>
        <v/>
      </c>
      <c r="B139" s="216" t="str">
        <f>_xlfn.XLOOKUP($A139,'(backend scoring)'!$V$2:$V$333,'(backend scoring)'!$A$2:$A$333,"")</f>
        <v/>
      </c>
      <c r="C139" s="216" t="str">
        <f>IFERROR(VLOOKUP($B139,'Institution Evaluation'!$A$55:$F$346,2,0),IFERROR(VLOOKUP($B139,'Privacy Analyst Evaluation'!$A$46:$F$120,2,0),""))&amp;""</f>
        <v/>
      </c>
      <c r="D139" s="216" t="str">
        <f>IFERROR(VLOOKUP($B139,'Institution Evaluation'!$A$55:$F$346,3,0),IFERROR(VLOOKUP($B139,'Privacy Analyst Evaluation'!$A$46:$F$120,3,0),""))&amp;""</f>
        <v/>
      </c>
      <c r="E139" s="216" t="str">
        <f>IFERROR(VLOOKUP($B139,'Institution Evaluation'!$A$55:$F$346,4,0),IFERROR(VLOOKUP($B139,'Privacy Analyst Evaluation'!$A$46:$F$120,4,0),""))&amp;""</f>
        <v/>
      </c>
      <c r="F139" s="216" t="str">
        <f>IFERROR(VLOOKUP($B139,'Institution Evaluation'!$A$55:$F$346,6,0),IFERROR(VLOOKUP($B139,'Privacy Analyst Evaluation'!$A$46:$F$120,6,0),""))&amp;""</f>
        <v/>
      </c>
      <c r="G139" s="217"/>
      <c r="H139" s="216" t="str">
        <f>IFERROR(IF($H138+1&gt;'(backend scoring)'!$Q$335,"",$H138+1),"")</f>
        <v/>
      </c>
      <c r="I139" s="216" t="str">
        <f>_xlfn.XLOOKUP($H139,'(backend scoring)'!$S$2:$S$333,'(backend scoring)'!$A$2:$A$333,"")</f>
        <v/>
      </c>
      <c r="J139" s="216" t="str">
        <f>IFERROR(VLOOKUP($I139,'Institution Evaluation'!$A$55:$F$346,2,0),IFERROR(VLOOKUP($I139,'Privacy Analyst Evaluation'!$A$46:$F$120,2,0),""))</f>
        <v/>
      </c>
      <c r="K139" s="216" t="str">
        <f>IFERROR(VLOOKUP($I139,'Institution Evaluation'!$A$55:$F$346,3,0),IFERROR(VLOOKUP($I139,'Privacy Analyst Evaluation'!$A$46:$F$120,3,0),""))&amp;""</f>
        <v/>
      </c>
      <c r="L139" s="216" t="str">
        <f>IFERROR(VLOOKUP($I139,'Institution Evaluation'!$A$55:$F$346,4,0),IFERROR(VLOOKUP($I139,'Privacy Analyst Evaluation'!$A$46:$F$120,4,0),""))&amp;""</f>
        <v/>
      </c>
      <c r="M139" s="216" t="str">
        <f>IFERROR(VLOOKUP($I139,'Institution Evaluation'!$A$55:$F$346,6,0),IFERROR(VLOOKUP($I139,'Privacy Analyst Evaluation'!$A$46:$F$120,6,0),""))&amp;""</f>
        <v/>
      </c>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row>
    <row r="140" spans="1:338" x14ac:dyDescent="0.3">
      <c r="A140" s="216" t="str">
        <f>IFERROR(IF($A139+1&gt;'(backend scoring)'!$T$335,"",$A139+1),"")</f>
        <v/>
      </c>
      <c r="B140" s="216" t="str">
        <f>_xlfn.XLOOKUP($A140,'(backend scoring)'!$V$2:$V$333,'(backend scoring)'!$A$2:$A$333,"")</f>
        <v/>
      </c>
      <c r="C140" s="216" t="str">
        <f>IFERROR(VLOOKUP($B140,'Institution Evaluation'!$A$55:$F$346,2,0),IFERROR(VLOOKUP($B140,'Privacy Analyst Evaluation'!$A$46:$F$120,2,0),""))&amp;""</f>
        <v/>
      </c>
      <c r="D140" s="216" t="str">
        <f>IFERROR(VLOOKUP($B140,'Institution Evaluation'!$A$55:$F$346,3,0),IFERROR(VLOOKUP($B140,'Privacy Analyst Evaluation'!$A$46:$F$120,3,0),""))&amp;""</f>
        <v/>
      </c>
      <c r="E140" s="216" t="str">
        <f>IFERROR(VLOOKUP($B140,'Institution Evaluation'!$A$55:$F$346,4,0),IFERROR(VLOOKUP($B140,'Privacy Analyst Evaluation'!$A$46:$F$120,4,0),""))&amp;""</f>
        <v/>
      </c>
      <c r="F140" s="216" t="str">
        <f>IFERROR(VLOOKUP($B140,'Institution Evaluation'!$A$55:$F$346,6,0),IFERROR(VLOOKUP($B140,'Privacy Analyst Evaluation'!$A$46:$F$120,6,0),""))&amp;""</f>
        <v/>
      </c>
      <c r="G140" s="217"/>
      <c r="H140" s="216" t="str">
        <f>IFERROR(IF($H139+1&gt;'(backend scoring)'!$Q$335,"",$H139+1),"")</f>
        <v/>
      </c>
      <c r="I140" s="216" t="str">
        <f>_xlfn.XLOOKUP($H140,'(backend scoring)'!$S$2:$S$333,'(backend scoring)'!$A$2:$A$333,"")</f>
        <v/>
      </c>
      <c r="J140" s="216" t="str">
        <f>IFERROR(VLOOKUP($I140,'Institution Evaluation'!$A$55:$F$346,2,0),IFERROR(VLOOKUP($I140,'Privacy Analyst Evaluation'!$A$46:$F$120,2,0),""))</f>
        <v/>
      </c>
      <c r="K140" s="216" t="str">
        <f>IFERROR(VLOOKUP($I140,'Institution Evaluation'!$A$55:$F$346,3,0),IFERROR(VLOOKUP($I140,'Privacy Analyst Evaluation'!$A$46:$F$120,3,0),""))&amp;""</f>
        <v/>
      </c>
      <c r="L140" s="216" t="str">
        <f>IFERROR(VLOOKUP($I140,'Institution Evaluation'!$A$55:$F$346,4,0),IFERROR(VLOOKUP($I140,'Privacy Analyst Evaluation'!$A$46:$F$120,4,0),""))&amp;""</f>
        <v/>
      </c>
      <c r="M140" s="216" t="str">
        <f>IFERROR(VLOOKUP($I140,'Institution Evaluation'!$A$55:$F$346,6,0),IFERROR(VLOOKUP($I140,'Privacy Analyst Evaluation'!$A$46:$F$120,6,0),""))&amp;""</f>
        <v/>
      </c>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row>
    <row r="141" spans="1:338" x14ac:dyDescent="0.3">
      <c r="A141" s="216" t="str">
        <f>IFERROR(IF($A140+1&gt;'(backend scoring)'!$T$335,"",$A140+1),"")</f>
        <v/>
      </c>
      <c r="B141" s="216" t="str">
        <f>_xlfn.XLOOKUP($A141,'(backend scoring)'!$V$2:$V$333,'(backend scoring)'!$A$2:$A$333,"")</f>
        <v/>
      </c>
      <c r="C141" s="216" t="str">
        <f>IFERROR(VLOOKUP($B141,'Institution Evaluation'!$A$55:$F$346,2,0),IFERROR(VLOOKUP($B141,'Privacy Analyst Evaluation'!$A$46:$F$120,2,0),""))&amp;""</f>
        <v/>
      </c>
      <c r="D141" s="216" t="str">
        <f>IFERROR(VLOOKUP($B141,'Institution Evaluation'!$A$55:$F$346,3,0),IFERROR(VLOOKUP($B141,'Privacy Analyst Evaluation'!$A$46:$F$120,3,0),""))&amp;""</f>
        <v/>
      </c>
      <c r="E141" s="216" t="str">
        <f>IFERROR(VLOOKUP($B141,'Institution Evaluation'!$A$55:$F$346,4,0),IFERROR(VLOOKUP($B141,'Privacy Analyst Evaluation'!$A$46:$F$120,4,0),""))&amp;""</f>
        <v/>
      </c>
      <c r="F141" s="216" t="str">
        <f>IFERROR(VLOOKUP($B141,'Institution Evaluation'!$A$55:$F$346,6,0),IFERROR(VLOOKUP($B141,'Privacy Analyst Evaluation'!$A$46:$F$120,6,0),""))&amp;""</f>
        <v/>
      </c>
      <c r="G141" s="217"/>
      <c r="H141" s="216" t="str">
        <f>IFERROR(IF($H140+1&gt;'(backend scoring)'!$Q$335,"",$H140+1),"")</f>
        <v/>
      </c>
      <c r="I141" s="216" t="str">
        <f>_xlfn.XLOOKUP($H141,'(backend scoring)'!$S$2:$S$333,'(backend scoring)'!$A$2:$A$333,"")</f>
        <v/>
      </c>
      <c r="J141" s="216" t="str">
        <f>IFERROR(VLOOKUP($I141,'Institution Evaluation'!$A$55:$F$346,2,0),IFERROR(VLOOKUP($I141,'Privacy Analyst Evaluation'!$A$46:$F$120,2,0),""))</f>
        <v/>
      </c>
      <c r="K141" s="216" t="str">
        <f>IFERROR(VLOOKUP($I141,'Institution Evaluation'!$A$55:$F$346,3,0),IFERROR(VLOOKUP($I141,'Privacy Analyst Evaluation'!$A$46:$F$120,3,0),""))&amp;""</f>
        <v/>
      </c>
      <c r="L141" s="216" t="str">
        <f>IFERROR(VLOOKUP($I141,'Institution Evaluation'!$A$55:$F$346,4,0),IFERROR(VLOOKUP($I141,'Privacy Analyst Evaluation'!$A$46:$F$120,4,0),""))&amp;""</f>
        <v/>
      </c>
      <c r="M141" s="216" t="str">
        <f>IFERROR(VLOOKUP($I141,'Institution Evaluation'!$A$55:$F$346,6,0),IFERROR(VLOOKUP($I141,'Privacy Analyst Evaluation'!$A$46:$F$120,6,0),""))&amp;""</f>
        <v/>
      </c>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row>
    <row r="142" spans="1:338" x14ac:dyDescent="0.3">
      <c r="A142" s="216" t="str">
        <f>IFERROR(IF($A141+1&gt;'(backend scoring)'!$T$335,"",$A141+1),"")</f>
        <v/>
      </c>
      <c r="B142" s="216" t="str">
        <f>_xlfn.XLOOKUP($A142,'(backend scoring)'!$V$2:$V$333,'(backend scoring)'!$A$2:$A$333,"")</f>
        <v/>
      </c>
      <c r="C142" s="216" t="str">
        <f>IFERROR(VLOOKUP($B142,'Institution Evaluation'!$A$55:$F$346,2,0),IFERROR(VLOOKUP($B142,'Privacy Analyst Evaluation'!$A$46:$F$120,2,0),""))&amp;""</f>
        <v/>
      </c>
      <c r="D142" s="216" t="str">
        <f>IFERROR(VLOOKUP($B142,'Institution Evaluation'!$A$55:$F$346,3,0),IFERROR(VLOOKUP($B142,'Privacy Analyst Evaluation'!$A$46:$F$120,3,0),""))&amp;""</f>
        <v/>
      </c>
      <c r="E142" s="216" t="str">
        <f>IFERROR(VLOOKUP($B142,'Institution Evaluation'!$A$55:$F$346,4,0),IFERROR(VLOOKUP($B142,'Privacy Analyst Evaluation'!$A$46:$F$120,4,0),""))&amp;""</f>
        <v/>
      </c>
      <c r="F142" s="216" t="str">
        <f>IFERROR(VLOOKUP($B142,'Institution Evaluation'!$A$55:$F$346,6,0),IFERROR(VLOOKUP($B142,'Privacy Analyst Evaluation'!$A$46:$F$120,6,0),""))&amp;""</f>
        <v/>
      </c>
      <c r="G142" s="217"/>
      <c r="H142" s="216" t="str">
        <f>IFERROR(IF($H141+1&gt;'(backend scoring)'!$Q$335,"",$H141+1),"")</f>
        <v/>
      </c>
      <c r="I142" s="216" t="str">
        <f>_xlfn.XLOOKUP($H142,'(backend scoring)'!$S$2:$S$333,'(backend scoring)'!$A$2:$A$333,"")</f>
        <v/>
      </c>
      <c r="J142" s="216" t="str">
        <f>IFERROR(VLOOKUP($I142,'Institution Evaluation'!$A$55:$F$346,2,0),IFERROR(VLOOKUP($I142,'Privacy Analyst Evaluation'!$A$46:$F$120,2,0),""))</f>
        <v/>
      </c>
      <c r="K142" s="216" t="str">
        <f>IFERROR(VLOOKUP($I142,'Institution Evaluation'!$A$55:$F$346,3,0),IFERROR(VLOOKUP($I142,'Privacy Analyst Evaluation'!$A$46:$F$120,3,0),""))&amp;""</f>
        <v/>
      </c>
      <c r="L142" s="216" t="str">
        <f>IFERROR(VLOOKUP($I142,'Institution Evaluation'!$A$55:$F$346,4,0),IFERROR(VLOOKUP($I142,'Privacy Analyst Evaluation'!$A$46:$F$120,4,0),""))&amp;""</f>
        <v/>
      </c>
      <c r="M142" s="216" t="str">
        <f>IFERROR(VLOOKUP($I142,'Institution Evaluation'!$A$55:$F$346,6,0),IFERROR(VLOOKUP($I142,'Privacy Analyst Evaluation'!$A$46:$F$120,6,0),""))&amp;""</f>
        <v/>
      </c>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row>
    <row r="143" spans="1:338" x14ac:dyDescent="0.3">
      <c r="A143" s="216" t="str">
        <f>IFERROR(IF($A142+1&gt;'(backend scoring)'!$T$335,"",$A142+1),"")</f>
        <v/>
      </c>
      <c r="B143" s="216" t="str">
        <f>_xlfn.XLOOKUP($A143,'(backend scoring)'!$V$2:$V$333,'(backend scoring)'!$A$2:$A$333,"")</f>
        <v/>
      </c>
      <c r="C143" s="216" t="str">
        <f>IFERROR(VLOOKUP($B143,'Institution Evaluation'!$A$55:$F$346,2,0),IFERROR(VLOOKUP($B143,'Privacy Analyst Evaluation'!$A$46:$F$120,2,0),""))&amp;""</f>
        <v/>
      </c>
      <c r="D143" s="216" t="str">
        <f>IFERROR(VLOOKUP($B143,'Institution Evaluation'!$A$55:$F$346,3,0),IFERROR(VLOOKUP($B143,'Privacy Analyst Evaluation'!$A$46:$F$120,3,0),""))&amp;""</f>
        <v/>
      </c>
      <c r="E143" s="216" t="str">
        <f>IFERROR(VLOOKUP($B143,'Institution Evaluation'!$A$55:$F$346,4,0),IFERROR(VLOOKUP($B143,'Privacy Analyst Evaluation'!$A$46:$F$120,4,0),""))&amp;""</f>
        <v/>
      </c>
      <c r="F143" s="216" t="str">
        <f>IFERROR(VLOOKUP($B143,'Institution Evaluation'!$A$55:$F$346,6,0),IFERROR(VLOOKUP($B143,'Privacy Analyst Evaluation'!$A$46:$F$120,6,0),""))&amp;""</f>
        <v/>
      </c>
      <c r="G143" s="217"/>
      <c r="H143" s="216" t="str">
        <f>IFERROR(IF($H142+1&gt;'(backend scoring)'!$Q$335,"",$H142+1),"")</f>
        <v/>
      </c>
      <c r="I143" s="216" t="str">
        <f>_xlfn.XLOOKUP($H143,'(backend scoring)'!$S$2:$S$333,'(backend scoring)'!$A$2:$A$333,"")</f>
        <v/>
      </c>
      <c r="J143" s="216" t="str">
        <f>IFERROR(VLOOKUP($I143,'Institution Evaluation'!$A$55:$F$346,2,0),IFERROR(VLOOKUP($I143,'Privacy Analyst Evaluation'!$A$46:$F$120,2,0),""))</f>
        <v/>
      </c>
      <c r="K143" s="216" t="str">
        <f>IFERROR(VLOOKUP($I143,'Institution Evaluation'!$A$55:$F$346,3,0),IFERROR(VLOOKUP($I143,'Privacy Analyst Evaluation'!$A$46:$F$120,3,0),""))&amp;""</f>
        <v/>
      </c>
      <c r="L143" s="216" t="str">
        <f>IFERROR(VLOOKUP($I143,'Institution Evaluation'!$A$55:$F$346,4,0),IFERROR(VLOOKUP($I143,'Privacy Analyst Evaluation'!$A$46:$F$120,4,0),""))&amp;""</f>
        <v/>
      </c>
      <c r="M143" s="216" t="str">
        <f>IFERROR(VLOOKUP($I143,'Institution Evaluation'!$A$55:$F$346,6,0),IFERROR(VLOOKUP($I143,'Privacy Analyst Evaluation'!$A$46:$F$120,6,0),""))&amp;""</f>
        <v/>
      </c>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row>
    <row r="144" spans="1:338" x14ac:dyDescent="0.3">
      <c r="A144" s="216" t="str">
        <f>IFERROR(IF($A143+1&gt;'(backend scoring)'!$T$335,"",$A143+1),"")</f>
        <v/>
      </c>
      <c r="B144" s="216" t="str">
        <f>_xlfn.XLOOKUP($A144,'(backend scoring)'!$V$2:$V$333,'(backend scoring)'!$A$2:$A$333,"")</f>
        <v/>
      </c>
      <c r="C144" s="216" t="str">
        <f>IFERROR(VLOOKUP($B144,'Institution Evaluation'!$A$55:$F$346,2,0),IFERROR(VLOOKUP($B144,'Privacy Analyst Evaluation'!$A$46:$F$120,2,0),""))&amp;""</f>
        <v/>
      </c>
      <c r="D144" s="216" t="str">
        <f>IFERROR(VLOOKUP($B144,'Institution Evaluation'!$A$55:$F$346,3,0),IFERROR(VLOOKUP($B144,'Privacy Analyst Evaluation'!$A$46:$F$120,3,0),""))&amp;""</f>
        <v/>
      </c>
      <c r="E144" s="216" t="str">
        <f>IFERROR(VLOOKUP($B144,'Institution Evaluation'!$A$55:$F$346,4,0),IFERROR(VLOOKUP($B144,'Privacy Analyst Evaluation'!$A$46:$F$120,4,0),""))&amp;""</f>
        <v/>
      </c>
      <c r="F144" s="216" t="str">
        <f>IFERROR(VLOOKUP($B144,'Institution Evaluation'!$A$55:$F$346,6,0),IFERROR(VLOOKUP($B144,'Privacy Analyst Evaluation'!$A$46:$F$120,6,0),""))&amp;""</f>
        <v/>
      </c>
      <c r="G144" s="217"/>
      <c r="H144" s="216" t="str">
        <f>IFERROR(IF($H143+1&gt;'(backend scoring)'!$Q$335,"",$H143+1),"")</f>
        <v/>
      </c>
      <c r="I144" s="216" t="str">
        <f>_xlfn.XLOOKUP($H144,'(backend scoring)'!$S$2:$S$333,'(backend scoring)'!$A$2:$A$333,"")</f>
        <v/>
      </c>
      <c r="J144" s="216" t="str">
        <f>IFERROR(VLOOKUP($I144,'Institution Evaluation'!$A$55:$F$346,2,0),IFERROR(VLOOKUP($I144,'Privacy Analyst Evaluation'!$A$46:$F$120,2,0),""))</f>
        <v/>
      </c>
      <c r="K144" s="216" t="str">
        <f>IFERROR(VLOOKUP($I144,'Institution Evaluation'!$A$55:$F$346,3,0),IFERROR(VLOOKUP($I144,'Privacy Analyst Evaluation'!$A$46:$F$120,3,0),""))&amp;""</f>
        <v/>
      </c>
      <c r="L144" s="216" t="str">
        <f>IFERROR(VLOOKUP($I144,'Institution Evaluation'!$A$55:$F$346,4,0),IFERROR(VLOOKUP($I144,'Privacy Analyst Evaluation'!$A$46:$F$120,4,0),""))&amp;""</f>
        <v/>
      </c>
      <c r="M144" s="216" t="str">
        <f>IFERROR(VLOOKUP($I144,'Institution Evaluation'!$A$55:$F$346,6,0),IFERROR(VLOOKUP($I144,'Privacy Analyst Evaluation'!$A$46:$F$120,6,0),""))&amp;""</f>
        <v/>
      </c>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row>
    <row r="145" spans="1:338" x14ac:dyDescent="0.3">
      <c r="A145" s="216" t="str">
        <f>IFERROR(IF($A144+1&gt;'(backend scoring)'!$T$335,"",$A144+1),"")</f>
        <v/>
      </c>
      <c r="B145" s="216" t="str">
        <f>_xlfn.XLOOKUP($A145,'(backend scoring)'!$V$2:$V$333,'(backend scoring)'!$A$2:$A$333,"")</f>
        <v/>
      </c>
      <c r="C145" s="216" t="str">
        <f>IFERROR(VLOOKUP($B145,'Institution Evaluation'!$A$55:$F$346,2,0),IFERROR(VLOOKUP($B145,'Privacy Analyst Evaluation'!$A$46:$F$120,2,0),""))&amp;""</f>
        <v/>
      </c>
      <c r="D145" s="216" t="str">
        <f>IFERROR(VLOOKUP($B145,'Institution Evaluation'!$A$55:$F$346,3,0),IFERROR(VLOOKUP($B145,'Privacy Analyst Evaluation'!$A$46:$F$120,3,0),""))&amp;""</f>
        <v/>
      </c>
      <c r="E145" s="216" t="str">
        <f>IFERROR(VLOOKUP($B145,'Institution Evaluation'!$A$55:$F$346,4,0),IFERROR(VLOOKUP($B145,'Privacy Analyst Evaluation'!$A$46:$F$120,4,0),""))&amp;""</f>
        <v/>
      </c>
      <c r="F145" s="216" t="str">
        <f>IFERROR(VLOOKUP($B145,'Institution Evaluation'!$A$55:$F$346,6,0),IFERROR(VLOOKUP($B145,'Privacy Analyst Evaluation'!$A$46:$F$120,6,0),""))&amp;""</f>
        <v/>
      </c>
      <c r="G145" s="217"/>
      <c r="H145" s="216" t="str">
        <f>IFERROR(IF($H144+1&gt;'(backend scoring)'!$Q$335,"",$H144+1),"")</f>
        <v/>
      </c>
      <c r="I145" s="216" t="str">
        <f>_xlfn.XLOOKUP($H145,'(backend scoring)'!$S$2:$S$333,'(backend scoring)'!$A$2:$A$333,"")</f>
        <v/>
      </c>
      <c r="J145" s="216" t="str">
        <f>IFERROR(VLOOKUP($I145,'Institution Evaluation'!$A$55:$F$346,2,0),IFERROR(VLOOKUP($I145,'Privacy Analyst Evaluation'!$A$46:$F$120,2,0),""))</f>
        <v/>
      </c>
      <c r="K145" s="216" t="str">
        <f>IFERROR(VLOOKUP($I145,'Institution Evaluation'!$A$55:$F$346,3,0),IFERROR(VLOOKUP($I145,'Privacy Analyst Evaluation'!$A$46:$F$120,3,0),""))&amp;""</f>
        <v/>
      </c>
      <c r="L145" s="216" t="str">
        <f>IFERROR(VLOOKUP($I145,'Institution Evaluation'!$A$55:$F$346,4,0),IFERROR(VLOOKUP($I145,'Privacy Analyst Evaluation'!$A$46:$F$120,4,0),""))&amp;""</f>
        <v/>
      </c>
      <c r="M145" s="216" t="str">
        <f>IFERROR(VLOOKUP($I145,'Institution Evaluation'!$A$55:$F$346,6,0),IFERROR(VLOOKUP($I145,'Privacy Analyst Evaluation'!$A$46:$F$120,6,0),""))&amp;""</f>
        <v/>
      </c>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row>
    <row r="146" spans="1:338" x14ac:dyDescent="0.3">
      <c r="A146" s="216" t="str">
        <f>IFERROR(IF($A145+1&gt;'(backend scoring)'!$T$335,"",$A145+1),"")</f>
        <v/>
      </c>
      <c r="B146" s="216" t="str">
        <f>_xlfn.XLOOKUP($A146,'(backend scoring)'!$V$2:$V$333,'(backend scoring)'!$A$2:$A$333,"")</f>
        <v/>
      </c>
      <c r="C146" s="216" t="str">
        <f>IFERROR(VLOOKUP($B146,'Institution Evaluation'!$A$55:$F$346,2,0),IFERROR(VLOOKUP($B146,'Privacy Analyst Evaluation'!$A$46:$F$120,2,0),""))&amp;""</f>
        <v/>
      </c>
      <c r="D146" s="216" t="str">
        <f>IFERROR(VLOOKUP($B146,'Institution Evaluation'!$A$55:$F$346,3,0),IFERROR(VLOOKUP($B146,'Privacy Analyst Evaluation'!$A$46:$F$120,3,0),""))&amp;""</f>
        <v/>
      </c>
      <c r="E146" s="216" t="str">
        <f>IFERROR(VLOOKUP($B146,'Institution Evaluation'!$A$55:$F$346,4,0),IFERROR(VLOOKUP($B146,'Privacy Analyst Evaluation'!$A$46:$F$120,4,0),""))&amp;""</f>
        <v/>
      </c>
      <c r="F146" s="216" t="str">
        <f>IFERROR(VLOOKUP($B146,'Institution Evaluation'!$A$55:$F$346,6,0),IFERROR(VLOOKUP($B146,'Privacy Analyst Evaluation'!$A$46:$F$120,6,0),""))&amp;""</f>
        <v/>
      </c>
      <c r="G146" s="217"/>
      <c r="H146" s="216" t="str">
        <f>IFERROR(IF($H145+1&gt;'(backend scoring)'!$Q$335,"",$H145+1),"")</f>
        <v/>
      </c>
      <c r="I146" s="216" t="str">
        <f>_xlfn.XLOOKUP($H146,'(backend scoring)'!$S$2:$S$333,'(backend scoring)'!$A$2:$A$333,"")</f>
        <v/>
      </c>
      <c r="J146" s="216" t="str">
        <f>IFERROR(VLOOKUP($I146,'Institution Evaluation'!$A$55:$F$346,2,0),IFERROR(VLOOKUP($I146,'Privacy Analyst Evaluation'!$A$46:$F$120,2,0),""))</f>
        <v/>
      </c>
      <c r="K146" s="216" t="str">
        <f>IFERROR(VLOOKUP($I146,'Institution Evaluation'!$A$55:$F$346,3,0),IFERROR(VLOOKUP($I146,'Privacy Analyst Evaluation'!$A$46:$F$120,3,0),""))&amp;""</f>
        <v/>
      </c>
      <c r="L146" s="216" t="str">
        <f>IFERROR(VLOOKUP($I146,'Institution Evaluation'!$A$55:$F$346,4,0),IFERROR(VLOOKUP($I146,'Privacy Analyst Evaluation'!$A$46:$F$120,4,0),""))&amp;""</f>
        <v/>
      </c>
      <c r="M146" s="216" t="str">
        <f>IFERROR(VLOOKUP($I146,'Institution Evaluation'!$A$55:$F$346,6,0),IFERROR(VLOOKUP($I146,'Privacy Analyst Evaluation'!$A$46:$F$120,6,0),""))&amp;""</f>
        <v/>
      </c>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row>
    <row r="147" spans="1:338" x14ac:dyDescent="0.3">
      <c r="A147" s="216" t="str">
        <f>IFERROR(IF($A146+1&gt;'(backend scoring)'!$T$335,"",$A146+1),"")</f>
        <v/>
      </c>
      <c r="B147" s="216" t="str">
        <f>_xlfn.XLOOKUP($A147,'(backend scoring)'!$V$2:$V$333,'(backend scoring)'!$A$2:$A$333,"")</f>
        <v/>
      </c>
      <c r="C147" s="216" t="str">
        <f>IFERROR(VLOOKUP($B147,'Institution Evaluation'!$A$55:$F$346,2,0),IFERROR(VLOOKUP($B147,'Privacy Analyst Evaluation'!$A$46:$F$120,2,0),""))&amp;""</f>
        <v/>
      </c>
      <c r="D147" s="216" t="str">
        <f>IFERROR(VLOOKUP($B147,'Institution Evaluation'!$A$55:$F$346,3,0),IFERROR(VLOOKUP($B147,'Privacy Analyst Evaluation'!$A$46:$F$120,3,0),""))&amp;""</f>
        <v/>
      </c>
      <c r="E147" s="216" t="str">
        <f>IFERROR(VLOOKUP($B147,'Institution Evaluation'!$A$55:$F$346,4,0),IFERROR(VLOOKUP($B147,'Privacy Analyst Evaluation'!$A$46:$F$120,4,0),""))&amp;""</f>
        <v/>
      </c>
      <c r="F147" s="216" t="str">
        <f>IFERROR(VLOOKUP($B147,'Institution Evaluation'!$A$55:$F$346,6,0),IFERROR(VLOOKUP($B147,'Privacy Analyst Evaluation'!$A$46:$F$120,6,0),""))&amp;""</f>
        <v/>
      </c>
      <c r="G147" s="217"/>
      <c r="H147" s="216" t="str">
        <f>IFERROR(IF($H146+1&gt;'(backend scoring)'!$Q$335,"",$H146+1),"")</f>
        <v/>
      </c>
      <c r="I147" s="216" t="str">
        <f>_xlfn.XLOOKUP($H147,'(backend scoring)'!$S$2:$S$333,'(backend scoring)'!$A$2:$A$333,"")</f>
        <v/>
      </c>
      <c r="J147" s="216" t="str">
        <f>IFERROR(VLOOKUP($I147,'Institution Evaluation'!$A$55:$F$346,2,0),IFERROR(VLOOKUP($I147,'Privacy Analyst Evaluation'!$A$46:$F$120,2,0),""))</f>
        <v/>
      </c>
      <c r="K147" s="216" t="str">
        <f>IFERROR(VLOOKUP($I147,'Institution Evaluation'!$A$55:$F$346,3,0),IFERROR(VLOOKUP($I147,'Privacy Analyst Evaluation'!$A$46:$F$120,3,0),""))&amp;""</f>
        <v/>
      </c>
      <c r="L147" s="216" t="str">
        <f>IFERROR(VLOOKUP($I147,'Institution Evaluation'!$A$55:$F$346,4,0),IFERROR(VLOOKUP($I147,'Privacy Analyst Evaluation'!$A$46:$F$120,4,0),""))&amp;""</f>
        <v/>
      </c>
      <c r="M147" s="216" t="str">
        <f>IFERROR(VLOOKUP($I147,'Institution Evaluation'!$A$55:$F$346,6,0),IFERROR(VLOOKUP($I147,'Privacy Analyst Evaluation'!$A$46:$F$120,6,0),""))&amp;""</f>
        <v/>
      </c>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row>
    <row r="148" spans="1:338" x14ac:dyDescent="0.3">
      <c r="A148" s="216" t="str">
        <f>IFERROR(IF($A147+1&gt;'(backend scoring)'!$T$335,"",$A147+1),"")</f>
        <v/>
      </c>
      <c r="B148" s="216" t="str">
        <f>_xlfn.XLOOKUP($A148,'(backend scoring)'!$V$2:$V$333,'(backend scoring)'!$A$2:$A$333,"")</f>
        <v/>
      </c>
      <c r="C148" s="216" t="str">
        <f>IFERROR(VLOOKUP($B148,'Institution Evaluation'!$A$55:$F$346,2,0),IFERROR(VLOOKUP($B148,'Privacy Analyst Evaluation'!$A$46:$F$120,2,0),""))&amp;""</f>
        <v/>
      </c>
      <c r="D148" s="216" t="str">
        <f>IFERROR(VLOOKUP($B148,'Institution Evaluation'!$A$55:$F$346,3,0),IFERROR(VLOOKUP($B148,'Privacy Analyst Evaluation'!$A$46:$F$120,3,0),""))&amp;""</f>
        <v/>
      </c>
      <c r="E148" s="216" t="str">
        <f>IFERROR(VLOOKUP($B148,'Institution Evaluation'!$A$55:$F$346,4,0),IFERROR(VLOOKUP($B148,'Privacy Analyst Evaluation'!$A$46:$F$120,4,0),""))&amp;""</f>
        <v/>
      </c>
      <c r="F148" s="216" t="str">
        <f>IFERROR(VLOOKUP($B148,'Institution Evaluation'!$A$55:$F$346,6,0),IFERROR(VLOOKUP($B148,'Privacy Analyst Evaluation'!$A$46:$F$120,6,0),""))&amp;""</f>
        <v/>
      </c>
      <c r="G148" s="217"/>
      <c r="H148" s="216" t="str">
        <f>IFERROR(IF($H147+1&gt;'(backend scoring)'!$Q$335,"",$H147+1),"")</f>
        <v/>
      </c>
      <c r="I148" s="216" t="str">
        <f>_xlfn.XLOOKUP($H148,'(backend scoring)'!$S$2:$S$333,'(backend scoring)'!$A$2:$A$333,"")</f>
        <v/>
      </c>
      <c r="J148" s="216" t="str">
        <f>IFERROR(VLOOKUP($I148,'Institution Evaluation'!$A$55:$F$346,2,0),IFERROR(VLOOKUP($I148,'Privacy Analyst Evaluation'!$A$46:$F$120,2,0),""))</f>
        <v/>
      </c>
      <c r="K148" s="216" t="str">
        <f>IFERROR(VLOOKUP($I148,'Institution Evaluation'!$A$55:$F$346,3,0),IFERROR(VLOOKUP($I148,'Privacy Analyst Evaluation'!$A$46:$F$120,3,0),""))&amp;""</f>
        <v/>
      </c>
      <c r="L148" s="216" t="str">
        <f>IFERROR(VLOOKUP($I148,'Institution Evaluation'!$A$55:$F$346,4,0),IFERROR(VLOOKUP($I148,'Privacy Analyst Evaluation'!$A$46:$F$120,4,0),""))&amp;""</f>
        <v/>
      </c>
      <c r="M148" s="216" t="str">
        <f>IFERROR(VLOOKUP($I148,'Institution Evaluation'!$A$55:$F$346,6,0),IFERROR(VLOOKUP($I148,'Privacy Analyst Evaluation'!$A$46:$F$120,6,0),""))&amp;""</f>
        <v/>
      </c>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row>
    <row r="149" spans="1:338" x14ac:dyDescent="0.3">
      <c r="A149" s="216" t="str">
        <f>IFERROR(IF($A148+1&gt;'(backend scoring)'!$T$335,"",$A148+1),"")</f>
        <v/>
      </c>
      <c r="B149" s="216" t="str">
        <f>_xlfn.XLOOKUP($A149,'(backend scoring)'!$V$2:$V$333,'(backend scoring)'!$A$2:$A$333,"")</f>
        <v/>
      </c>
      <c r="C149" s="216" t="str">
        <f>IFERROR(VLOOKUP($B149,'Institution Evaluation'!$A$55:$F$346,2,0),IFERROR(VLOOKUP($B149,'Privacy Analyst Evaluation'!$A$46:$F$120,2,0),""))&amp;""</f>
        <v/>
      </c>
      <c r="D149" s="216" t="str">
        <f>IFERROR(VLOOKUP($B149,'Institution Evaluation'!$A$55:$F$346,3,0),IFERROR(VLOOKUP($B149,'Privacy Analyst Evaluation'!$A$46:$F$120,3,0),""))&amp;""</f>
        <v/>
      </c>
      <c r="E149" s="216" t="str">
        <f>IFERROR(VLOOKUP($B149,'Institution Evaluation'!$A$55:$F$346,4,0),IFERROR(VLOOKUP($B149,'Privacy Analyst Evaluation'!$A$46:$F$120,4,0),""))&amp;""</f>
        <v/>
      </c>
      <c r="F149" s="216" t="str">
        <f>IFERROR(VLOOKUP($B149,'Institution Evaluation'!$A$55:$F$346,6,0),IFERROR(VLOOKUP($B149,'Privacy Analyst Evaluation'!$A$46:$F$120,6,0),""))&amp;""</f>
        <v/>
      </c>
      <c r="G149" s="217"/>
      <c r="H149" s="216" t="str">
        <f>IFERROR(IF($H148+1&gt;'(backend scoring)'!$Q$335,"",$H148+1),"")</f>
        <v/>
      </c>
      <c r="I149" s="216" t="str">
        <f>_xlfn.XLOOKUP($H149,'(backend scoring)'!$S$2:$S$333,'(backend scoring)'!$A$2:$A$333,"")</f>
        <v/>
      </c>
      <c r="J149" s="216" t="str">
        <f>IFERROR(VLOOKUP($I149,'Institution Evaluation'!$A$55:$F$346,2,0),IFERROR(VLOOKUP($I149,'Privacy Analyst Evaluation'!$A$46:$F$120,2,0),""))</f>
        <v/>
      </c>
      <c r="K149" s="216" t="str">
        <f>IFERROR(VLOOKUP($I149,'Institution Evaluation'!$A$55:$F$346,3,0),IFERROR(VLOOKUP($I149,'Privacy Analyst Evaluation'!$A$46:$F$120,3,0),""))&amp;""</f>
        <v/>
      </c>
      <c r="L149" s="216" t="str">
        <f>IFERROR(VLOOKUP($I149,'Institution Evaluation'!$A$55:$F$346,4,0),IFERROR(VLOOKUP($I149,'Privacy Analyst Evaluation'!$A$46:$F$120,4,0),""))&amp;""</f>
        <v/>
      </c>
      <c r="M149" s="216" t="str">
        <f>IFERROR(VLOOKUP($I149,'Institution Evaluation'!$A$55:$F$346,6,0),IFERROR(VLOOKUP($I149,'Privacy Analyst Evaluation'!$A$46:$F$120,6,0),""))&amp;""</f>
        <v/>
      </c>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row>
    <row r="150" spans="1:338" x14ac:dyDescent="0.3">
      <c r="A150" s="216" t="str">
        <f>IFERROR(IF($A149+1&gt;'(backend scoring)'!$T$335,"",$A149+1),"")</f>
        <v/>
      </c>
      <c r="B150" s="216" t="str">
        <f>_xlfn.XLOOKUP($A150,'(backend scoring)'!$V$2:$V$333,'(backend scoring)'!$A$2:$A$333,"")</f>
        <v/>
      </c>
      <c r="C150" s="216" t="str">
        <f>IFERROR(VLOOKUP($B150,'Institution Evaluation'!$A$55:$F$346,2,0),IFERROR(VLOOKUP($B150,'Privacy Analyst Evaluation'!$A$46:$F$120,2,0),""))&amp;""</f>
        <v/>
      </c>
      <c r="D150" s="216" t="str">
        <f>IFERROR(VLOOKUP($B150,'Institution Evaluation'!$A$55:$F$346,3,0),IFERROR(VLOOKUP($B150,'Privacy Analyst Evaluation'!$A$46:$F$120,3,0),""))&amp;""</f>
        <v/>
      </c>
      <c r="E150" s="216" t="str">
        <f>IFERROR(VLOOKUP($B150,'Institution Evaluation'!$A$55:$F$346,4,0),IFERROR(VLOOKUP($B150,'Privacy Analyst Evaluation'!$A$46:$F$120,4,0),""))&amp;""</f>
        <v/>
      </c>
      <c r="F150" s="216" t="str">
        <f>IFERROR(VLOOKUP($B150,'Institution Evaluation'!$A$55:$F$346,6,0),IFERROR(VLOOKUP($B150,'Privacy Analyst Evaluation'!$A$46:$F$120,6,0),""))&amp;""</f>
        <v/>
      </c>
      <c r="G150" s="217"/>
      <c r="H150" s="216" t="str">
        <f>IFERROR(IF($H149+1&gt;'(backend scoring)'!$Q$335,"",$H149+1),"")</f>
        <v/>
      </c>
      <c r="I150" s="216" t="str">
        <f>_xlfn.XLOOKUP($H150,'(backend scoring)'!$S$2:$S$333,'(backend scoring)'!$A$2:$A$333,"")</f>
        <v/>
      </c>
      <c r="J150" s="216" t="str">
        <f>IFERROR(VLOOKUP($I150,'Institution Evaluation'!$A$55:$F$346,2,0),IFERROR(VLOOKUP($I150,'Privacy Analyst Evaluation'!$A$46:$F$120,2,0),""))</f>
        <v/>
      </c>
      <c r="K150" s="216" t="str">
        <f>IFERROR(VLOOKUP($I150,'Institution Evaluation'!$A$55:$F$346,3,0),IFERROR(VLOOKUP($I150,'Privacy Analyst Evaluation'!$A$46:$F$120,3,0),""))&amp;""</f>
        <v/>
      </c>
      <c r="L150" s="216" t="str">
        <f>IFERROR(VLOOKUP($I150,'Institution Evaluation'!$A$55:$F$346,4,0),IFERROR(VLOOKUP($I150,'Privacy Analyst Evaluation'!$A$46:$F$120,4,0),""))&amp;""</f>
        <v/>
      </c>
      <c r="M150" s="216" t="str">
        <f>IFERROR(VLOOKUP($I150,'Institution Evaluation'!$A$55:$F$346,6,0),IFERROR(VLOOKUP($I150,'Privacy Analyst Evaluation'!$A$46:$F$120,6,0),""))&amp;""</f>
        <v/>
      </c>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row>
    <row r="151" spans="1:338" x14ac:dyDescent="0.3">
      <c r="A151" s="216" t="str">
        <f>IFERROR(IF($A150+1&gt;'(backend scoring)'!$T$335,"",$A150+1),"")</f>
        <v/>
      </c>
      <c r="B151" s="216" t="str">
        <f>_xlfn.XLOOKUP($A151,'(backend scoring)'!$V$2:$V$333,'(backend scoring)'!$A$2:$A$333,"")</f>
        <v/>
      </c>
      <c r="C151" s="216" t="str">
        <f>IFERROR(VLOOKUP($B151,'Institution Evaluation'!$A$55:$F$346,2,0),IFERROR(VLOOKUP($B151,'Privacy Analyst Evaluation'!$A$46:$F$120,2,0),""))&amp;""</f>
        <v/>
      </c>
      <c r="D151" s="216" t="str">
        <f>IFERROR(VLOOKUP($B151,'Institution Evaluation'!$A$55:$F$346,3,0),IFERROR(VLOOKUP($B151,'Privacy Analyst Evaluation'!$A$46:$F$120,3,0),""))&amp;""</f>
        <v/>
      </c>
      <c r="E151" s="216" t="str">
        <f>IFERROR(VLOOKUP($B151,'Institution Evaluation'!$A$55:$F$346,4,0),IFERROR(VLOOKUP($B151,'Privacy Analyst Evaluation'!$A$46:$F$120,4,0),""))&amp;""</f>
        <v/>
      </c>
      <c r="F151" s="216" t="str">
        <f>IFERROR(VLOOKUP($B151,'Institution Evaluation'!$A$55:$F$346,6,0),IFERROR(VLOOKUP($B151,'Privacy Analyst Evaluation'!$A$46:$F$120,6,0),""))&amp;""</f>
        <v/>
      </c>
      <c r="G151" s="217"/>
      <c r="H151" s="216" t="str">
        <f>IFERROR(IF($H150+1&gt;'(backend scoring)'!$Q$335,"",$H150+1),"")</f>
        <v/>
      </c>
      <c r="I151" s="216" t="str">
        <f>_xlfn.XLOOKUP($H151,'(backend scoring)'!$S$2:$S$333,'(backend scoring)'!$A$2:$A$333,"")</f>
        <v/>
      </c>
      <c r="J151" s="216" t="str">
        <f>IFERROR(VLOOKUP($I151,'Institution Evaluation'!$A$55:$F$346,2,0),IFERROR(VLOOKUP($I151,'Privacy Analyst Evaluation'!$A$46:$F$120,2,0),""))</f>
        <v/>
      </c>
      <c r="K151" s="216" t="str">
        <f>IFERROR(VLOOKUP($I151,'Institution Evaluation'!$A$55:$F$346,3,0),IFERROR(VLOOKUP($I151,'Privacy Analyst Evaluation'!$A$46:$F$120,3,0),""))&amp;""</f>
        <v/>
      </c>
      <c r="L151" s="216" t="str">
        <f>IFERROR(VLOOKUP($I151,'Institution Evaluation'!$A$55:$F$346,4,0),IFERROR(VLOOKUP($I151,'Privacy Analyst Evaluation'!$A$46:$F$120,4,0),""))&amp;""</f>
        <v/>
      </c>
      <c r="M151" s="216" t="str">
        <f>IFERROR(VLOOKUP($I151,'Institution Evaluation'!$A$55:$F$346,6,0),IFERROR(VLOOKUP($I151,'Privacy Analyst Evaluation'!$A$46:$F$120,6,0),""))&amp;""</f>
        <v/>
      </c>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row>
    <row r="152" spans="1:338" x14ac:dyDescent="0.3">
      <c r="A152" s="216" t="str">
        <f>IFERROR(IF($A151+1&gt;'(backend scoring)'!$T$335,"",$A151+1),"")</f>
        <v/>
      </c>
      <c r="B152" s="216" t="str">
        <f>_xlfn.XLOOKUP($A152,'(backend scoring)'!$V$2:$V$333,'(backend scoring)'!$A$2:$A$333,"")</f>
        <v/>
      </c>
      <c r="C152" s="216" t="str">
        <f>IFERROR(VLOOKUP($B152,'Institution Evaluation'!$A$55:$F$346,2,0),IFERROR(VLOOKUP($B152,'Privacy Analyst Evaluation'!$A$46:$F$120,2,0),""))&amp;""</f>
        <v/>
      </c>
      <c r="D152" s="216" t="str">
        <f>IFERROR(VLOOKUP($B152,'Institution Evaluation'!$A$55:$F$346,3,0),IFERROR(VLOOKUP($B152,'Privacy Analyst Evaluation'!$A$46:$F$120,3,0),""))&amp;""</f>
        <v/>
      </c>
      <c r="E152" s="216" t="str">
        <f>IFERROR(VLOOKUP($B152,'Institution Evaluation'!$A$55:$F$346,4,0),IFERROR(VLOOKUP($B152,'Privacy Analyst Evaluation'!$A$46:$F$120,4,0),""))&amp;""</f>
        <v/>
      </c>
      <c r="F152" s="216" t="str">
        <f>IFERROR(VLOOKUP($B152,'Institution Evaluation'!$A$55:$F$346,6,0),IFERROR(VLOOKUP($B152,'Privacy Analyst Evaluation'!$A$46:$F$120,6,0),""))&amp;""</f>
        <v/>
      </c>
      <c r="G152" s="217"/>
      <c r="H152" s="216" t="str">
        <f>IFERROR(IF($H151+1&gt;'(backend scoring)'!$Q$335,"",$H151+1),"")</f>
        <v/>
      </c>
      <c r="I152" s="216" t="str">
        <f>_xlfn.XLOOKUP($H152,'(backend scoring)'!$S$2:$S$333,'(backend scoring)'!$A$2:$A$333,"")</f>
        <v/>
      </c>
      <c r="J152" s="216" t="str">
        <f>IFERROR(VLOOKUP($I152,'Institution Evaluation'!$A$55:$F$346,2,0),IFERROR(VLOOKUP($I152,'Privacy Analyst Evaluation'!$A$46:$F$120,2,0),""))</f>
        <v/>
      </c>
      <c r="K152" s="216" t="str">
        <f>IFERROR(VLOOKUP($I152,'Institution Evaluation'!$A$55:$F$346,3,0),IFERROR(VLOOKUP($I152,'Privacy Analyst Evaluation'!$A$46:$F$120,3,0),""))&amp;""</f>
        <v/>
      </c>
      <c r="L152" s="216" t="str">
        <f>IFERROR(VLOOKUP($I152,'Institution Evaluation'!$A$55:$F$346,4,0),IFERROR(VLOOKUP($I152,'Privacy Analyst Evaluation'!$A$46:$F$120,4,0),""))&amp;""</f>
        <v/>
      </c>
      <c r="M152" s="216" t="str">
        <f>IFERROR(VLOOKUP($I152,'Institution Evaluation'!$A$55:$F$346,6,0),IFERROR(VLOOKUP($I152,'Privacy Analyst Evaluation'!$A$46:$F$120,6,0),""))&amp;""</f>
        <v/>
      </c>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row>
    <row r="153" spans="1:338" x14ac:dyDescent="0.3">
      <c r="A153" s="216" t="str">
        <f>IFERROR(IF($A152+1&gt;'(backend scoring)'!$T$335,"",$A152+1),"")</f>
        <v/>
      </c>
      <c r="B153" s="216" t="str">
        <f>_xlfn.XLOOKUP($A153,'(backend scoring)'!$V$2:$V$333,'(backend scoring)'!$A$2:$A$333,"")</f>
        <v/>
      </c>
      <c r="C153" s="216" t="str">
        <f>IFERROR(VLOOKUP($B153,'Institution Evaluation'!$A$55:$F$346,2,0),IFERROR(VLOOKUP($B153,'Privacy Analyst Evaluation'!$A$46:$F$120,2,0),""))&amp;""</f>
        <v/>
      </c>
      <c r="D153" s="216" t="str">
        <f>IFERROR(VLOOKUP($B153,'Institution Evaluation'!$A$55:$F$346,3,0),IFERROR(VLOOKUP($B153,'Privacy Analyst Evaluation'!$A$46:$F$120,3,0),""))&amp;""</f>
        <v/>
      </c>
      <c r="E153" s="216" t="str">
        <f>IFERROR(VLOOKUP($B153,'Institution Evaluation'!$A$55:$F$346,4,0),IFERROR(VLOOKUP($B153,'Privacy Analyst Evaluation'!$A$46:$F$120,4,0),""))&amp;""</f>
        <v/>
      </c>
      <c r="F153" s="216" t="str">
        <f>IFERROR(VLOOKUP($B153,'Institution Evaluation'!$A$55:$F$346,6,0),IFERROR(VLOOKUP($B153,'Privacy Analyst Evaluation'!$A$46:$F$120,6,0),""))&amp;""</f>
        <v/>
      </c>
      <c r="G153" s="217"/>
      <c r="H153" s="216" t="str">
        <f>IFERROR(IF($H152+1&gt;'(backend scoring)'!$Q$335,"",$H152+1),"")</f>
        <v/>
      </c>
      <c r="I153" s="216" t="str">
        <f>_xlfn.XLOOKUP($H153,'(backend scoring)'!$S$2:$S$333,'(backend scoring)'!$A$2:$A$333,"")</f>
        <v/>
      </c>
      <c r="J153" s="216" t="str">
        <f>IFERROR(VLOOKUP($I153,'Institution Evaluation'!$A$55:$F$346,2,0),IFERROR(VLOOKUP($I153,'Privacy Analyst Evaluation'!$A$46:$F$120,2,0),""))</f>
        <v/>
      </c>
      <c r="K153" s="216" t="str">
        <f>IFERROR(VLOOKUP($I153,'Institution Evaluation'!$A$55:$F$346,3,0),IFERROR(VLOOKUP($I153,'Privacy Analyst Evaluation'!$A$46:$F$120,3,0),""))&amp;""</f>
        <v/>
      </c>
      <c r="L153" s="216" t="str">
        <f>IFERROR(VLOOKUP($I153,'Institution Evaluation'!$A$55:$F$346,4,0),IFERROR(VLOOKUP($I153,'Privacy Analyst Evaluation'!$A$46:$F$120,4,0),""))&amp;""</f>
        <v/>
      </c>
      <c r="M153" s="216" t="str">
        <f>IFERROR(VLOOKUP($I153,'Institution Evaluation'!$A$55:$F$346,6,0),IFERROR(VLOOKUP($I153,'Privacy Analyst Evaluation'!$A$46:$F$120,6,0),""))&amp;""</f>
        <v/>
      </c>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row>
    <row r="154" spans="1:338" x14ac:dyDescent="0.3">
      <c r="A154" s="216" t="str">
        <f>IFERROR(IF($A153+1&gt;'(backend scoring)'!$T$335,"",$A153+1),"")</f>
        <v/>
      </c>
      <c r="B154" s="216" t="str">
        <f>_xlfn.XLOOKUP($A154,'(backend scoring)'!$V$2:$V$333,'(backend scoring)'!$A$2:$A$333,"")</f>
        <v/>
      </c>
      <c r="C154" s="216" t="str">
        <f>IFERROR(VLOOKUP($B154,'Institution Evaluation'!$A$55:$F$346,2,0),IFERROR(VLOOKUP($B154,'Privacy Analyst Evaluation'!$A$46:$F$120,2,0),""))&amp;""</f>
        <v/>
      </c>
      <c r="D154" s="216" t="str">
        <f>IFERROR(VLOOKUP($B154,'Institution Evaluation'!$A$55:$F$346,3,0),IFERROR(VLOOKUP($B154,'Privacy Analyst Evaluation'!$A$46:$F$120,3,0),""))&amp;""</f>
        <v/>
      </c>
      <c r="E154" s="216" t="str">
        <f>IFERROR(VLOOKUP($B154,'Institution Evaluation'!$A$55:$F$346,4,0),IFERROR(VLOOKUP($B154,'Privacy Analyst Evaluation'!$A$46:$F$120,4,0),""))&amp;""</f>
        <v/>
      </c>
      <c r="F154" s="216" t="str">
        <f>IFERROR(VLOOKUP($B154,'Institution Evaluation'!$A$55:$F$346,6,0),IFERROR(VLOOKUP($B154,'Privacy Analyst Evaluation'!$A$46:$F$120,6,0),""))&amp;""</f>
        <v/>
      </c>
      <c r="G154" s="217"/>
      <c r="H154" s="216" t="str">
        <f>IFERROR(IF($H153+1&gt;'(backend scoring)'!$Q$335,"",$H153+1),"")</f>
        <v/>
      </c>
      <c r="I154" s="216" t="str">
        <f>_xlfn.XLOOKUP($H154,'(backend scoring)'!$S$2:$S$333,'(backend scoring)'!$A$2:$A$333,"")</f>
        <v/>
      </c>
      <c r="J154" s="216" t="str">
        <f>IFERROR(VLOOKUP($I154,'Institution Evaluation'!$A$55:$F$346,2,0),IFERROR(VLOOKUP($I154,'Privacy Analyst Evaluation'!$A$46:$F$120,2,0),""))</f>
        <v/>
      </c>
      <c r="K154" s="216" t="str">
        <f>IFERROR(VLOOKUP($I154,'Institution Evaluation'!$A$55:$F$346,3,0),IFERROR(VLOOKUP($I154,'Privacy Analyst Evaluation'!$A$46:$F$120,3,0),""))&amp;""</f>
        <v/>
      </c>
      <c r="L154" s="216" t="str">
        <f>IFERROR(VLOOKUP($I154,'Institution Evaluation'!$A$55:$F$346,4,0),IFERROR(VLOOKUP($I154,'Privacy Analyst Evaluation'!$A$46:$F$120,4,0),""))&amp;""</f>
        <v/>
      </c>
      <c r="M154" s="216" t="str">
        <f>IFERROR(VLOOKUP($I154,'Institution Evaluation'!$A$55:$F$346,6,0),IFERROR(VLOOKUP($I154,'Privacy Analyst Evaluation'!$A$46:$F$120,6,0),""))&amp;""</f>
        <v/>
      </c>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row>
    <row r="155" spans="1:338" x14ac:dyDescent="0.3">
      <c r="A155" s="216" t="str">
        <f>IFERROR(IF($A154+1&gt;'(backend scoring)'!$T$335,"",$A154+1),"")</f>
        <v/>
      </c>
      <c r="B155" s="216" t="str">
        <f>_xlfn.XLOOKUP($A155,'(backend scoring)'!$V$2:$V$333,'(backend scoring)'!$A$2:$A$333,"")</f>
        <v/>
      </c>
      <c r="C155" s="216" t="str">
        <f>IFERROR(VLOOKUP($B155,'Institution Evaluation'!$A$55:$F$346,2,0),IFERROR(VLOOKUP($B155,'Privacy Analyst Evaluation'!$A$46:$F$120,2,0),""))&amp;""</f>
        <v/>
      </c>
      <c r="D155" s="216" t="str">
        <f>IFERROR(VLOOKUP($B155,'Institution Evaluation'!$A$55:$F$346,3,0),IFERROR(VLOOKUP($B155,'Privacy Analyst Evaluation'!$A$46:$F$120,3,0),""))&amp;""</f>
        <v/>
      </c>
      <c r="E155" s="216" t="str">
        <f>IFERROR(VLOOKUP($B155,'Institution Evaluation'!$A$55:$F$346,4,0),IFERROR(VLOOKUP($B155,'Privacy Analyst Evaluation'!$A$46:$F$120,4,0),""))&amp;""</f>
        <v/>
      </c>
      <c r="F155" s="216" t="str">
        <f>IFERROR(VLOOKUP($B155,'Institution Evaluation'!$A$55:$F$346,6,0),IFERROR(VLOOKUP($B155,'Privacy Analyst Evaluation'!$A$46:$F$120,6,0),""))&amp;""</f>
        <v/>
      </c>
      <c r="G155" s="217"/>
      <c r="H155" s="216" t="str">
        <f>IFERROR(IF($H154+1&gt;'(backend scoring)'!$Q$335,"",$H154+1),"")</f>
        <v/>
      </c>
      <c r="I155" s="216" t="str">
        <f>_xlfn.XLOOKUP($H155,'(backend scoring)'!$S$2:$S$333,'(backend scoring)'!$A$2:$A$333,"")</f>
        <v/>
      </c>
      <c r="J155" s="216" t="str">
        <f>IFERROR(VLOOKUP($I155,'Institution Evaluation'!$A$55:$F$346,2,0),IFERROR(VLOOKUP($I155,'Privacy Analyst Evaluation'!$A$46:$F$120,2,0),""))</f>
        <v/>
      </c>
      <c r="K155" s="216" t="str">
        <f>IFERROR(VLOOKUP($I155,'Institution Evaluation'!$A$55:$F$346,3,0),IFERROR(VLOOKUP($I155,'Privacy Analyst Evaluation'!$A$46:$F$120,3,0),""))&amp;""</f>
        <v/>
      </c>
      <c r="L155" s="216" t="str">
        <f>IFERROR(VLOOKUP($I155,'Institution Evaluation'!$A$55:$F$346,4,0),IFERROR(VLOOKUP($I155,'Privacy Analyst Evaluation'!$A$46:$F$120,4,0),""))&amp;""</f>
        <v/>
      </c>
      <c r="M155" s="216" t="str">
        <f>IFERROR(VLOOKUP($I155,'Institution Evaluation'!$A$55:$F$346,6,0),IFERROR(VLOOKUP($I155,'Privacy Analyst Evaluation'!$A$46:$F$120,6,0),""))&amp;""</f>
        <v/>
      </c>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row>
    <row r="156" spans="1:338" x14ac:dyDescent="0.3">
      <c r="A156" s="216" t="str">
        <f>IFERROR(IF($A155+1&gt;'(backend scoring)'!$T$335,"",$A155+1),"")</f>
        <v/>
      </c>
      <c r="B156" s="216" t="str">
        <f>_xlfn.XLOOKUP($A156,'(backend scoring)'!$V$2:$V$333,'(backend scoring)'!$A$2:$A$333,"")</f>
        <v/>
      </c>
      <c r="C156" s="216" t="str">
        <f>IFERROR(VLOOKUP($B156,'Institution Evaluation'!$A$55:$F$346,2,0),IFERROR(VLOOKUP($B156,'Privacy Analyst Evaluation'!$A$46:$F$120,2,0),""))&amp;""</f>
        <v/>
      </c>
      <c r="D156" s="216" t="str">
        <f>IFERROR(VLOOKUP($B156,'Institution Evaluation'!$A$55:$F$346,3,0),IFERROR(VLOOKUP($B156,'Privacy Analyst Evaluation'!$A$46:$F$120,3,0),""))&amp;""</f>
        <v/>
      </c>
      <c r="E156" s="216" t="str">
        <f>IFERROR(VLOOKUP($B156,'Institution Evaluation'!$A$55:$F$346,4,0),IFERROR(VLOOKUP($B156,'Privacy Analyst Evaluation'!$A$46:$F$120,4,0),""))&amp;""</f>
        <v/>
      </c>
      <c r="F156" s="216" t="str">
        <f>IFERROR(VLOOKUP($B156,'Institution Evaluation'!$A$55:$F$346,6,0),IFERROR(VLOOKUP($B156,'Privacy Analyst Evaluation'!$A$46:$F$120,6,0),""))&amp;""</f>
        <v/>
      </c>
      <c r="G156" s="217"/>
      <c r="H156" s="216" t="str">
        <f>IFERROR(IF($H155+1&gt;'(backend scoring)'!$Q$335,"",$H155+1),"")</f>
        <v/>
      </c>
      <c r="I156" s="216" t="str">
        <f>_xlfn.XLOOKUP($H156,'(backend scoring)'!$S$2:$S$333,'(backend scoring)'!$A$2:$A$333,"")</f>
        <v/>
      </c>
      <c r="J156" s="216" t="str">
        <f>IFERROR(VLOOKUP($I156,'Institution Evaluation'!$A$55:$F$346,2,0),IFERROR(VLOOKUP($I156,'Privacy Analyst Evaluation'!$A$46:$F$120,2,0),""))</f>
        <v/>
      </c>
      <c r="K156" s="216" t="str">
        <f>IFERROR(VLOOKUP($I156,'Institution Evaluation'!$A$55:$F$346,3,0),IFERROR(VLOOKUP($I156,'Privacy Analyst Evaluation'!$A$46:$F$120,3,0),""))&amp;""</f>
        <v/>
      </c>
      <c r="L156" s="216" t="str">
        <f>IFERROR(VLOOKUP($I156,'Institution Evaluation'!$A$55:$F$346,4,0),IFERROR(VLOOKUP($I156,'Privacy Analyst Evaluation'!$A$46:$F$120,4,0),""))&amp;""</f>
        <v/>
      </c>
      <c r="M156" s="216" t="str">
        <f>IFERROR(VLOOKUP($I156,'Institution Evaluation'!$A$55:$F$346,6,0),IFERROR(VLOOKUP($I156,'Privacy Analyst Evaluation'!$A$46:$F$120,6,0),""))&amp;""</f>
        <v/>
      </c>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row>
    <row r="157" spans="1:338" x14ac:dyDescent="0.3">
      <c r="A157" s="216" t="str">
        <f>IFERROR(IF($A156+1&gt;'(backend scoring)'!$T$335,"",$A156+1),"")</f>
        <v/>
      </c>
      <c r="B157" s="216" t="str">
        <f>_xlfn.XLOOKUP($A157,'(backend scoring)'!$V$2:$V$333,'(backend scoring)'!$A$2:$A$333,"")</f>
        <v/>
      </c>
      <c r="C157" s="216" t="str">
        <f>IFERROR(VLOOKUP($B157,'Institution Evaluation'!$A$55:$F$346,2,0),IFERROR(VLOOKUP($B157,'Privacy Analyst Evaluation'!$A$46:$F$120,2,0),""))&amp;""</f>
        <v/>
      </c>
      <c r="D157" s="216" t="str">
        <f>IFERROR(VLOOKUP($B157,'Institution Evaluation'!$A$55:$F$346,3,0),IFERROR(VLOOKUP($B157,'Privacy Analyst Evaluation'!$A$46:$F$120,3,0),""))&amp;""</f>
        <v/>
      </c>
      <c r="E157" s="216" t="str">
        <f>IFERROR(VLOOKUP($B157,'Institution Evaluation'!$A$55:$F$346,4,0),IFERROR(VLOOKUP($B157,'Privacy Analyst Evaluation'!$A$46:$F$120,4,0),""))&amp;""</f>
        <v/>
      </c>
      <c r="F157" s="216" t="str">
        <f>IFERROR(VLOOKUP($B157,'Institution Evaluation'!$A$55:$F$346,6,0),IFERROR(VLOOKUP($B157,'Privacy Analyst Evaluation'!$A$46:$F$120,6,0),""))&amp;""</f>
        <v/>
      </c>
      <c r="G157" s="217"/>
      <c r="H157" s="216" t="str">
        <f>IFERROR(IF($H156+1&gt;'(backend scoring)'!$Q$335,"",$H156+1),"")</f>
        <v/>
      </c>
      <c r="I157" s="216" t="str">
        <f>_xlfn.XLOOKUP($H157,'(backend scoring)'!$S$2:$S$333,'(backend scoring)'!$A$2:$A$333,"")</f>
        <v/>
      </c>
      <c r="J157" s="216" t="str">
        <f>IFERROR(VLOOKUP($I157,'Institution Evaluation'!$A$55:$F$346,2,0),IFERROR(VLOOKUP($I157,'Privacy Analyst Evaluation'!$A$46:$F$120,2,0),""))</f>
        <v/>
      </c>
      <c r="K157" s="216" t="str">
        <f>IFERROR(VLOOKUP($I157,'Institution Evaluation'!$A$55:$F$346,3,0),IFERROR(VLOOKUP($I157,'Privacy Analyst Evaluation'!$A$46:$F$120,3,0),""))&amp;""</f>
        <v/>
      </c>
      <c r="L157" s="216" t="str">
        <f>IFERROR(VLOOKUP($I157,'Institution Evaluation'!$A$55:$F$346,4,0),IFERROR(VLOOKUP($I157,'Privacy Analyst Evaluation'!$A$46:$F$120,4,0),""))&amp;""</f>
        <v/>
      </c>
      <c r="M157" s="216" t="str">
        <f>IFERROR(VLOOKUP($I157,'Institution Evaluation'!$A$55:$F$346,6,0),IFERROR(VLOOKUP($I157,'Privacy Analyst Evaluation'!$A$46:$F$120,6,0),""))&amp;""</f>
        <v/>
      </c>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row>
    <row r="158" spans="1:338" x14ac:dyDescent="0.3">
      <c r="A158" s="216" t="str">
        <f>IFERROR(IF($A157+1&gt;'(backend scoring)'!$T$335,"",$A157+1),"")</f>
        <v/>
      </c>
      <c r="B158" s="216" t="str">
        <f>_xlfn.XLOOKUP($A158,'(backend scoring)'!$V$2:$V$333,'(backend scoring)'!$A$2:$A$333,"")</f>
        <v/>
      </c>
      <c r="C158" s="216" t="str">
        <f>IFERROR(VLOOKUP($B158,'Institution Evaluation'!$A$55:$F$346,2,0),IFERROR(VLOOKUP($B158,'Privacy Analyst Evaluation'!$A$46:$F$120,2,0),""))&amp;""</f>
        <v/>
      </c>
      <c r="D158" s="216" t="str">
        <f>IFERROR(VLOOKUP($B158,'Institution Evaluation'!$A$55:$F$346,3,0),IFERROR(VLOOKUP($B158,'Privacy Analyst Evaluation'!$A$46:$F$120,3,0),""))&amp;""</f>
        <v/>
      </c>
      <c r="E158" s="216" t="str">
        <f>IFERROR(VLOOKUP($B158,'Institution Evaluation'!$A$55:$F$346,4,0),IFERROR(VLOOKUP($B158,'Privacy Analyst Evaluation'!$A$46:$F$120,4,0),""))&amp;""</f>
        <v/>
      </c>
      <c r="F158" s="216" t="str">
        <f>IFERROR(VLOOKUP($B158,'Institution Evaluation'!$A$55:$F$346,6,0),IFERROR(VLOOKUP($B158,'Privacy Analyst Evaluation'!$A$46:$F$120,6,0),""))&amp;""</f>
        <v/>
      </c>
      <c r="G158" s="217"/>
      <c r="H158" s="216" t="str">
        <f>IFERROR(IF($H157+1&gt;'(backend scoring)'!$Q$335,"",$H157+1),"")</f>
        <v/>
      </c>
      <c r="I158" s="216" t="str">
        <f>_xlfn.XLOOKUP($H158,'(backend scoring)'!$S$2:$S$333,'(backend scoring)'!$A$2:$A$333,"")</f>
        <v/>
      </c>
      <c r="J158" s="216" t="str">
        <f>IFERROR(VLOOKUP($I158,'Institution Evaluation'!$A$55:$F$346,2,0),IFERROR(VLOOKUP($I158,'Privacy Analyst Evaluation'!$A$46:$F$120,2,0),""))</f>
        <v/>
      </c>
      <c r="K158" s="216" t="str">
        <f>IFERROR(VLOOKUP($I158,'Institution Evaluation'!$A$55:$F$346,3,0),IFERROR(VLOOKUP($I158,'Privacy Analyst Evaluation'!$A$46:$F$120,3,0),""))&amp;""</f>
        <v/>
      </c>
      <c r="L158" s="216" t="str">
        <f>IFERROR(VLOOKUP($I158,'Institution Evaluation'!$A$55:$F$346,4,0),IFERROR(VLOOKUP($I158,'Privacy Analyst Evaluation'!$A$46:$F$120,4,0),""))&amp;""</f>
        <v/>
      </c>
      <c r="M158" s="216" t="str">
        <f>IFERROR(VLOOKUP($I158,'Institution Evaluation'!$A$55:$F$346,6,0),IFERROR(VLOOKUP($I158,'Privacy Analyst Evaluation'!$A$46:$F$120,6,0),""))&amp;""</f>
        <v/>
      </c>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row>
    <row r="159" spans="1:338" x14ac:dyDescent="0.3">
      <c r="A159" s="216" t="str">
        <f>IFERROR(IF($A158+1&gt;'(backend scoring)'!$T$335,"",$A158+1),"")</f>
        <v/>
      </c>
      <c r="B159" s="216" t="str">
        <f>_xlfn.XLOOKUP($A159,'(backend scoring)'!$V$2:$V$333,'(backend scoring)'!$A$2:$A$333,"")</f>
        <v/>
      </c>
      <c r="C159" s="216" t="str">
        <f>IFERROR(VLOOKUP($B159,'Institution Evaluation'!$A$55:$F$346,2,0),IFERROR(VLOOKUP($B159,'Privacy Analyst Evaluation'!$A$46:$F$120,2,0),""))&amp;""</f>
        <v/>
      </c>
      <c r="D159" s="216" t="str">
        <f>IFERROR(VLOOKUP($B159,'Institution Evaluation'!$A$55:$F$346,3,0),IFERROR(VLOOKUP($B159,'Privacy Analyst Evaluation'!$A$46:$F$120,3,0),""))&amp;""</f>
        <v/>
      </c>
      <c r="E159" s="216" t="str">
        <f>IFERROR(VLOOKUP($B159,'Institution Evaluation'!$A$55:$F$346,4,0),IFERROR(VLOOKUP($B159,'Privacy Analyst Evaluation'!$A$46:$F$120,4,0),""))&amp;""</f>
        <v/>
      </c>
      <c r="F159" s="216" t="str">
        <f>IFERROR(VLOOKUP($B159,'Institution Evaluation'!$A$55:$F$346,6,0),IFERROR(VLOOKUP($B159,'Privacy Analyst Evaluation'!$A$46:$F$120,6,0),""))&amp;""</f>
        <v/>
      </c>
      <c r="G159" s="217"/>
      <c r="H159" s="216" t="str">
        <f>IFERROR(IF($H158+1&gt;'(backend scoring)'!$Q$335,"",$H158+1),"")</f>
        <v/>
      </c>
      <c r="I159" s="216" t="str">
        <f>_xlfn.XLOOKUP($H159,'(backend scoring)'!$S$2:$S$333,'(backend scoring)'!$A$2:$A$333,"")</f>
        <v/>
      </c>
      <c r="J159" s="216" t="str">
        <f>IFERROR(VLOOKUP($I159,'Institution Evaluation'!$A$55:$F$346,2,0),IFERROR(VLOOKUP($I159,'Privacy Analyst Evaluation'!$A$46:$F$120,2,0),""))</f>
        <v/>
      </c>
      <c r="K159" s="216" t="str">
        <f>IFERROR(VLOOKUP($I159,'Institution Evaluation'!$A$55:$F$346,3,0),IFERROR(VLOOKUP($I159,'Privacy Analyst Evaluation'!$A$46:$F$120,3,0),""))&amp;""</f>
        <v/>
      </c>
      <c r="L159" s="216" t="str">
        <f>IFERROR(VLOOKUP($I159,'Institution Evaluation'!$A$55:$F$346,4,0),IFERROR(VLOOKUP($I159,'Privacy Analyst Evaluation'!$A$46:$F$120,4,0),""))&amp;""</f>
        <v/>
      </c>
      <c r="M159" s="216" t="str">
        <f>IFERROR(VLOOKUP($I159,'Institution Evaluation'!$A$55:$F$346,6,0),IFERROR(VLOOKUP($I159,'Privacy Analyst Evaluation'!$A$46:$F$120,6,0),""))&amp;""</f>
        <v/>
      </c>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row>
    <row r="160" spans="1:338" x14ac:dyDescent="0.3">
      <c r="A160" s="216" t="str">
        <f>IFERROR(IF($A159+1&gt;'(backend scoring)'!$T$335,"",$A159+1),"")</f>
        <v/>
      </c>
      <c r="B160" s="216" t="str">
        <f>_xlfn.XLOOKUP($A160,'(backend scoring)'!$V$2:$V$333,'(backend scoring)'!$A$2:$A$333,"")</f>
        <v/>
      </c>
      <c r="C160" s="216" t="str">
        <f>IFERROR(VLOOKUP($B160,'Institution Evaluation'!$A$55:$F$346,2,0),IFERROR(VLOOKUP($B160,'Privacy Analyst Evaluation'!$A$46:$F$120,2,0),""))&amp;""</f>
        <v/>
      </c>
      <c r="D160" s="216" t="str">
        <f>IFERROR(VLOOKUP($B160,'Institution Evaluation'!$A$55:$F$346,3,0),IFERROR(VLOOKUP($B160,'Privacy Analyst Evaluation'!$A$46:$F$120,3,0),""))&amp;""</f>
        <v/>
      </c>
      <c r="E160" s="216" t="str">
        <f>IFERROR(VLOOKUP($B160,'Institution Evaluation'!$A$55:$F$346,4,0),IFERROR(VLOOKUP($B160,'Privacy Analyst Evaluation'!$A$46:$F$120,4,0),""))&amp;""</f>
        <v/>
      </c>
      <c r="F160" s="216" t="str">
        <f>IFERROR(VLOOKUP($B160,'Institution Evaluation'!$A$55:$F$346,6,0),IFERROR(VLOOKUP($B160,'Privacy Analyst Evaluation'!$A$46:$F$120,6,0),""))&amp;""</f>
        <v/>
      </c>
      <c r="G160" s="217"/>
      <c r="H160" s="216" t="str">
        <f>IFERROR(IF($H159+1&gt;'(backend scoring)'!$Q$335,"",$H159+1),"")</f>
        <v/>
      </c>
      <c r="I160" s="216" t="str">
        <f>_xlfn.XLOOKUP($H160,'(backend scoring)'!$S$2:$S$333,'(backend scoring)'!$A$2:$A$333,"")</f>
        <v/>
      </c>
      <c r="J160" s="216" t="str">
        <f>IFERROR(VLOOKUP($I160,'Institution Evaluation'!$A$55:$F$346,2,0),IFERROR(VLOOKUP($I160,'Privacy Analyst Evaluation'!$A$46:$F$120,2,0),""))</f>
        <v/>
      </c>
      <c r="K160" s="216" t="str">
        <f>IFERROR(VLOOKUP($I160,'Institution Evaluation'!$A$55:$F$346,3,0),IFERROR(VLOOKUP($I160,'Privacy Analyst Evaluation'!$A$46:$F$120,3,0),""))&amp;""</f>
        <v/>
      </c>
      <c r="L160" s="216" t="str">
        <f>IFERROR(VLOOKUP($I160,'Institution Evaluation'!$A$55:$F$346,4,0),IFERROR(VLOOKUP($I160,'Privacy Analyst Evaluation'!$A$46:$F$120,4,0),""))&amp;""</f>
        <v/>
      </c>
      <c r="M160" s="216" t="str">
        <f>IFERROR(VLOOKUP($I160,'Institution Evaluation'!$A$55:$F$346,6,0),IFERROR(VLOOKUP($I160,'Privacy Analyst Evaluation'!$A$46:$F$120,6,0),""))&amp;""</f>
        <v/>
      </c>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row>
    <row r="161" spans="1:338" x14ac:dyDescent="0.3">
      <c r="A161" s="216" t="str">
        <f>IFERROR(IF($A160+1&gt;'(backend scoring)'!$T$335,"",$A160+1),"")</f>
        <v/>
      </c>
      <c r="B161" s="216" t="str">
        <f>_xlfn.XLOOKUP($A161,'(backend scoring)'!$V$2:$V$333,'(backend scoring)'!$A$2:$A$333,"")</f>
        <v/>
      </c>
      <c r="C161" s="216" t="str">
        <f>IFERROR(VLOOKUP($B161,'Institution Evaluation'!$A$55:$F$346,2,0),IFERROR(VLOOKUP($B161,'Privacy Analyst Evaluation'!$A$46:$F$120,2,0),""))&amp;""</f>
        <v/>
      </c>
      <c r="D161" s="216" t="str">
        <f>IFERROR(VLOOKUP($B161,'Institution Evaluation'!$A$55:$F$346,3,0),IFERROR(VLOOKUP($B161,'Privacy Analyst Evaluation'!$A$46:$F$120,3,0),""))&amp;""</f>
        <v/>
      </c>
      <c r="E161" s="216" t="str">
        <f>IFERROR(VLOOKUP($B161,'Institution Evaluation'!$A$55:$F$346,4,0),IFERROR(VLOOKUP($B161,'Privacy Analyst Evaluation'!$A$46:$F$120,4,0),""))&amp;""</f>
        <v/>
      </c>
      <c r="F161" s="216" t="str">
        <f>IFERROR(VLOOKUP($B161,'Institution Evaluation'!$A$55:$F$346,6,0),IFERROR(VLOOKUP($B161,'Privacy Analyst Evaluation'!$A$46:$F$120,6,0),""))&amp;""</f>
        <v/>
      </c>
      <c r="G161" s="217"/>
      <c r="H161" s="216" t="str">
        <f>IFERROR(IF($H160+1&gt;'(backend scoring)'!$Q$335,"",$H160+1),"")</f>
        <v/>
      </c>
      <c r="I161" s="216" t="str">
        <f>_xlfn.XLOOKUP($H161,'(backend scoring)'!$S$2:$S$333,'(backend scoring)'!$A$2:$A$333,"")</f>
        <v/>
      </c>
      <c r="J161" s="216" t="str">
        <f>IFERROR(VLOOKUP($I161,'Institution Evaluation'!$A$55:$F$346,2,0),IFERROR(VLOOKUP($I161,'Privacy Analyst Evaluation'!$A$46:$F$120,2,0),""))</f>
        <v/>
      </c>
      <c r="K161" s="216" t="str">
        <f>IFERROR(VLOOKUP($I161,'Institution Evaluation'!$A$55:$F$346,3,0),IFERROR(VLOOKUP($I161,'Privacy Analyst Evaluation'!$A$46:$F$120,3,0),""))&amp;""</f>
        <v/>
      </c>
      <c r="L161" s="216" t="str">
        <f>IFERROR(VLOOKUP($I161,'Institution Evaluation'!$A$55:$F$346,4,0),IFERROR(VLOOKUP($I161,'Privacy Analyst Evaluation'!$A$46:$F$120,4,0),""))&amp;""</f>
        <v/>
      </c>
      <c r="M161" s="216" t="str">
        <f>IFERROR(VLOOKUP($I161,'Institution Evaluation'!$A$55:$F$346,6,0),IFERROR(VLOOKUP($I161,'Privacy Analyst Evaluation'!$A$46:$F$120,6,0),""))&amp;""</f>
        <v/>
      </c>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row>
    <row r="162" spans="1:338" x14ac:dyDescent="0.3">
      <c r="A162" s="216" t="str">
        <f>IFERROR(IF($A161+1&gt;'(backend scoring)'!$T$335,"",$A161+1),"")</f>
        <v/>
      </c>
      <c r="B162" s="216" t="str">
        <f>_xlfn.XLOOKUP($A162,'(backend scoring)'!$V$2:$V$333,'(backend scoring)'!$A$2:$A$333,"")</f>
        <v/>
      </c>
      <c r="C162" s="216" t="str">
        <f>IFERROR(VLOOKUP($B162,'Institution Evaluation'!$A$55:$F$346,2,0),IFERROR(VLOOKUP($B162,'Privacy Analyst Evaluation'!$A$46:$F$120,2,0),""))&amp;""</f>
        <v/>
      </c>
      <c r="D162" s="216" t="str">
        <f>IFERROR(VLOOKUP($B162,'Institution Evaluation'!$A$55:$F$346,3,0),IFERROR(VLOOKUP($B162,'Privacy Analyst Evaluation'!$A$46:$F$120,3,0),""))&amp;""</f>
        <v/>
      </c>
      <c r="E162" s="216" t="str">
        <f>IFERROR(VLOOKUP($B162,'Institution Evaluation'!$A$55:$F$346,4,0),IFERROR(VLOOKUP($B162,'Privacy Analyst Evaluation'!$A$46:$F$120,4,0),""))&amp;""</f>
        <v/>
      </c>
      <c r="F162" s="216" t="str">
        <f>IFERROR(VLOOKUP($B162,'Institution Evaluation'!$A$55:$F$346,6,0),IFERROR(VLOOKUP($B162,'Privacy Analyst Evaluation'!$A$46:$F$120,6,0),""))&amp;""</f>
        <v/>
      </c>
      <c r="G162" s="217"/>
      <c r="H162" s="216" t="str">
        <f>IFERROR(IF($H161+1&gt;'(backend scoring)'!$Q$335,"",$H161+1),"")</f>
        <v/>
      </c>
      <c r="I162" s="216" t="str">
        <f>_xlfn.XLOOKUP($H162,'(backend scoring)'!$S$2:$S$333,'(backend scoring)'!$A$2:$A$333,"")</f>
        <v/>
      </c>
      <c r="J162" s="216" t="str">
        <f>IFERROR(VLOOKUP($I162,'Institution Evaluation'!$A$55:$F$346,2,0),IFERROR(VLOOKUP($I162,'Privacy Analyst Evaluation'!$A$46:$F$120,2,0),""))</f>
        <v/>
      </c>
      <c r="K162" s="216" t="str">
        <f>IFERROR(VLOOKUP($I162,'Institution Evaluation'!$A$55:$F$346,3,0),IFERROR(VLOOKUP($I162,'Privacy Analyst Evaluation'!$A$46:$F$120,3,0),""))&amp;""</f>
        <v/>
      </c>
      <c r="L162" s="216" t="str">
        <f>IFERROR(VLOOKUP($I162,'Institution Evaluation'!$A$55:$F$346,4,0),IFERROR(VLOOKUP($I162,'Privacy Analyst Evaluation'!$A$46:$F$120,4,0),""))&amp;""</f>
        <v/>
      </c>
      <c r="M162" s="216" t="str">
        <f>IFERROR(VLOOKUP($I162,'Institution Evaluation'!$A$55:$F$346,6,0),IFERROR(VLOOKUP($I162,'Privacy Analyst Evaluation'!$A$46:$F$120,6,0),""))&amp;""</f>
        <v/>
      </c>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row>
    <row r="163" spans="1:338" x14ac:dyDescent="0.3">
      <c r="A163" s="216" t="str">
        <f>IFERROR(IF($A162+1&gt;'(backend scoring)'!$T$335,"",$A162+1),"")</f>
        <v/>
      </c>
      <c r="B163" s="216" t="str">
        <f>_xlfn.XLOOKUP($A163,'(backend scoring)'!$V$2:$V$333,'(backend scoring)'!$A$2:$A$333,"")</f>
        <v/>
      </c>
      <c r="C163" s="216" t="str">
        <f>IFERROR(VLOOKUP($B163,'Institution Evaluation'!$A$55:$F$346,2,0),IFERROR(VLOOKUP($B163,'Privacy Analyst Evaluation'!$A$46:$F$120,2,0),""))&amp;""</f>
        <v/>
      </c>
      <c r="D163" s="216" t="str">
        <f>IFERROR(VLOOKUP($B163,'Institution Evaluation'!$A$55:$F$346,3,0),IFERROR(VLOOKUP($B163,'Privacy Analyst Evaluation'!$A$46:$F$120,3,0),""))&amp;""</f>
        <v/>
      </c>
      <c r="E163" s="216" t="str">
        <f>IFERROR(VLOOKUP($B163,'Institution Evaluation'!$A$55:$F$346,4,0),IFERROR(VLOOKUP($B163,'Privacy Analyst Evaluation'!$A$46:$F$120,4,0),""))&amp;""</f>
        <v/>
      </c>
      <c r="F163" s="216" t="str">
        <f>IFERROR(VLOOKUP($B163,'Institution Evaluation'!$A$55:$F$346,6,0),IFERROR(VLOOKUP($B163,'Privacy Analyst Evaluation'!$A$46:$F$120,6,0),""))&amp;""</f>
        <v/>
      </c>
      <c r="G163" s="217"/>
      <c r="H163" s="216" t="str">
        <f>IFERROR(IF($H162+1&gt;'(backend scoring)'!$Q$335,"",$H162+1),"")</f>
        <v/>
      </c>
      <c r="I163" s="216" t="str">
        <f>_xlfn.XLOOKUP($H163,'(backend scoring)'!$S$2:$S$333,'(backend scoring)'!$A$2:$A$333,"")</f>
        <v/>
      </c>
      <c r="J163" s="216" t="str">
        <f>IFERROR(VLOOKUP($I163,'Institution Evaluation'!$A$55:$F$346,2,0),IFERROR(VLOOKUP($I163,'Privacy Analyst Evaluation'!$A$46:$F$120,2,0),""))</f>
        <v/>
      </c>
      <c r="K163" s="216" t="str">
        <f>IFERROR(VLOOKUP($I163,'Institution Evaluation'!$A$55:$F$346,3,0),IFERROR(VLOOKUP($I163,'Privacy Analyst Evaluation'!$A$46:$F$120,3,0),""))&amp;""</f>
        <v/>
      </c>
      <c r="L163" s="216" t="str">
        <f>IFERROR(VLOOKUP($I163,'Institution Evaluation'!$A$55:$F$346,4,0),IFERROR(VLOOKUP($I163,'Privacy Analyst Evaluation'!$A$46:$F$120,4,0),""))&amp;""</f>
        <v/>
      </c>
      <c r="M163" s="216" t="str">
        <f>IFERROR(VLOOKUP($I163,'Institution Evaluation'!$A$55:$F$346,6,0),IFERROR(VLOOKUP($I163,'Privacy Analyst Evaluation'!$A$46:$F$120,6,0),""))&amp;""</f>
        <v/>
      </c>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row>
    <row r="164" spans="1:338" x14ac:dyDescent="0.3">
      <c r="A164" s="216" t="str">
        <f>IFERROR(IF($A163+1&gt;'(backend scoring)'!$T$335,"",$A163+1),"")</f>
        <v/>
      </c>
      <c r="B164" s="216" t="str">
        <f>_xlfn.XLOOKUP($A164,'(backend scoring)'!$V$2:$V$333,'(backend scoring)'!$A$2:$A$333,"")</f>
        <v/>
      </c>
      <c r="C164" s="216" t="str">
        <f>IFERROR(VLOOKUP($B164,'Institution Evaluation'!$A$55:$F$346,2,0),IFERROR(VLOOKUP($B164,'Privacy Analyst Evaluation'!$A$46:$F$120,2,0),""))&amp;""</f>
        <v/>
      </c>
      <c r="D164" s="216" t="str">
        <f>IFERROR(VLOOKUP($B164,'Institution Evaluation'!$A$55:$F$346,3,0),IFERROR(VLOOKUP($B164,'Privacy Analyst Evaluation'!$A$46:$F$120,3,0),""))&amp;""</f>
        <v/>
      </c>
      <c r="E164" s="216" t="str">
        <f>IFERROR(VLOOKUP($B164,'Institution Evaluation'!$A$55:$F$346,4,0),IFERROR(VLOOKUP($B164,'Privacy Analyst Evaluation'!$A$46:$F$120,4,0),""))&amp;""</f>
        <v/>
      </c>
      <c r="F164" s="216" t="str">
        <f>IFERROR(VLOOKUP($B164,'Institution Evaluation'!$A$55:$F$346,6,0),IFERROR(VLOOKUP($B164,'Privacy Analyst Evaluation'!$A$46:$F$120,6,0),""))&amp;""</f>
        <v/>
      </c>
      <c r="G164" s="217"/>
      <c r="H164" s="216" t="str">
        <f>IFERROR(IF($H163+1&gt;'(backend scoring)'!$Q$335,"",$H163+1),"")</f>
        <v/>
      </c>
      <c r="I164" s="216" t="str">
        <f>_xlfn.XLOOKUP($H164,'(backend scoring)'!$S$2:$S$333,'(backend scoring)'!$A$2:$A$333,"")</f>
        <v/>
      </c>
      <c r="J164" s="216" t="str">
        <f>IFERROR(VLOOKUP($I164,'Institution Evaluation'!$A$55:$F$346,2,0),IFERROR(VLOOKUP($I164,'Privacy Analyst Evaluation'!$A$46:$F$120,2,0),""))</f>
        <v/>
      </c>
      <c r="K164" s="216" t="str">
        <f>IFERROR(VLOOKUP($I164,'Institution Evaluation'!$A$55:$F$346,3,0),IFERROR(VLOOKUP($I164,'Privacy Analyst Evaluation'!$A$46:$F$120,3,0),""))&amp;""</f>
        <v/>
      </c>
      <c r="L164" s="216" t="str">
        <f>IFERROR(VLOOKUP($I164,'Institution Evaluation'!$A$55:$F$346,4,0),IFERROR(VLOOKUP($I164,'Privacy Analyst Evaluation'!$A$46:$F$120,4,0),""))&amp;""</f>
        <v/>
      </c>
      <c r="M164" s="216" t="str">
        <f>IFERROR(VLOOKUP($I164,'Institution Evaluation'!$A$55:$F$346,6,0),IFERROR(VLOOKUP($I164,'Privacy Analyst Evaluation'!$A$46:$F$120,6,0),""))&amp;""</f>
        <v/>
      </c>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row>
    <row r="165" spans="1:338" x14ac:dyDescent="0.3">
      <c r="A165" s="216" t="str">
        <f>IFERROR(IF($A164+1&gt;'(backend scoring)'!$T$335,"",$A164+1),"")</f>
        <v/>
      </c>
      <c r="B165" s="216" t="str">
        <f>_xlfn.XLOOKUP($A165,'(backend scoring)'!$V$2:$V$333,'(backend scoring)'!$A$2:$A$333,"")</f>
        <v/>
      </c>
      <c r="C165" s="216" t="str">
        <f>IFERROR(VLOOKUP($B165,'Institution Evaluation'!$A$55:$F$346,2,0),IFERROR(VLOOKUP($B165,'Privacy Analyst Evaluation'!$A$46:$F$120,2,0),""))&amp;""</f>
        <v/>
      </c>
      <c r="D165" s="216" t="str">
        <f>IFERROR(VLOOKUP($B165,'Institution Evaluation'!$A$55:$F$346,3,0),IFERROR(VLOOKUP($B165,'Privacy Analyst Evaluation'!$A$46:$F$120,3,0),""))&amp;""</f>
        <v/>
      </c>
      <c r="E165" s="216" t="str">
        <f>IFERROR(VLOOKUP($B165,'Institution Evaluation'!$A$55:$F$346,4,0),IFERROR(VLOOKUP($B165,'Privacy Analyst Evaluation'!$A$46:$F$120,4,0),""))&amp;""</f>
        <v/>
      </c>
      <c r="F165" s="216" t="str">
        <f>IFERROR(VLOOKUP($B165,'Institution Evaluation'!$A$55:$F$346,6,0),IFERROR(VLOOKUP($B165,'Privacy Analyst Evaluation'!$A$46:$F$120,6,0),""))&amp;""</f>
        <v/>
      </c>
      <c r="G165" s="217"/>
      <c r="H165" s="216" t="str">
        <f>IFERROR(IF($H164+1&gt;'(backend scoring)'!$Q$335,"",$H164+1),"")</f>
        <v/>
      </c>
      <c r="I165" s="216" t="str">
        <f>_xlfn.XLOOKUP($H165,'(backend scoring)'!$S$2:$S$333,'(backend scoring)'!$A$2:$A$333,"")</f>
        <v/>
      </c>
      <c r="J165" s="216" t="str">
        <f>IFERROR(VLOOKUP($I165,'Institution Evaluation'!$A$55:$F$346,2,0),IFERROR(VLOOKUP($I165,'Privacy Analyst Evaluation'!$A$46:$F$120,2,0),""))</f>
        <v/>
      </c>
      <c r="K165" s="216" t="str">
        <f>IFERROR(VLOOKUP($I165,'Institution Evaluation'!$A$55:$F$346,3,0),IFERROR(VLOOKUP($I165,'Privacy Analyst Evaluation'!$A$46:$F$120,3,0),""))&amp;""</f>
        <v/>
      </c>
      <c r="L165" s="216" t="str">
        <f>IFERROR(VLOOKUP($I165,'Institution Evaluation'!$A$55:$F$346,4,0),IFERROR(VLOOKUP($I165,'Privacy Analyst Evaluation'!$A$46:$F$120,4,0),""))&amp;""</f>
        <v/>
      </c>
      <c r="M165" s="216" t="str">
        <f>IFERROR(VLOOKUP($I165,'Institution Evaluation'!$A$55:$F$346,6,0),IFERROR(VLOOKUP($I165,'Privacy Analyst Evaluation'!$A$46:$F$120,6,0),""))&amp;""</f>
        <v/>
      </c>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row>
    <row r="166" spans="1:338" x14ac:dyDescent="0.3">
      <c r="A166" s="216" t="str">
        <f>IFERROR(IF($A165+1&gt;'(backend scoring)'!$T$335,"",$A165+1),"")</f>
        <v/>
      </c>
      <c r="B166" s="216" t="str">
        <f>_xlfn.XLOOKUP($A166,'(backend scoring)'!$V$2:$V$333,'(backend scoring)'!$A$2:$A$333,"")</f>
        <v/>
      </c>
      <c r="C166" s="216" t="str">
        <f>IFERROR(VLOOKUP($B166,'Institution Evaluation'!$A$55:$F$346,2,0),IFERROR(VLOOKUP($B166,'Privacy Analyst Evaluation'!$A$46:$F$120,2,0),""))&amp;""</f>
        <v/>
      </c>
      <c r="D166" s="216" t="str">
        <f>IFERROR(VLOOKUP($B166,'Institution Evaluation'!$A$55:$F$346,3,0),IFERROR(VLOOKUP($B166,'Privacy Analyst Evaluation'!$A$46:$F$120,3,0),""))&amp;""</f>
        <v/>
      </c>
      <c r="E166" s="216" t="str">
        <f>IFERROR(VLOOKUP($B166,'Institution Evaluation'!$A$55:$F$346,4,0),IFERROR(VLOOKUP($B166,'Privacy Analyst Evaluation'!$A$46:$F$120,4,0),""))&amp;""</f>
        <v/>
      </c>
      <c r="F166" s="216" t="str">
        <f>IFERROR(VLOOKUP($B166,'Institution Evaluation'!$A$55:$F$346,6,0),IFERROR(VLOOKUP($B166,'Privacy Analyst Evaluation'!$A$46:$F$120,6,0),""))&amp;""</f>
        <v/>
      </c>
      <c r="G166" s="217"/>
      <c r="H166" s="216" t="str">
        <f>IFERROR(IF($H165+1&gt;'(backend scoring)'!$Q$335,"",$H165+1),"")</f>
        <v/>
      </c>
      <c r="I166" s="216" t="str">
        <f>_xlfn.XLOOKUP($H166,'(backend scoring)'!$S$2:$S$333,'(backend scoring)'!$A$2:$A$333,"")</f>
        <v/>
      </c>
      <c r="J166" s="216" t="str">
        <f>IFERROR(VLOOKUP($I166,'Institution Evaluation'!$A$55:$F$346,2,0),IFERROR(VLOOKUP($I166,'Privacy Analyst Evaluation'!$A$46:$F$120,2,0),""))</f>
        <v/>
      </c>
      <c r="K166" s="216" t="str">
        <f>IFERROR(VLOOKUP($I166,'Institution Evaluation'!$A$55:$F$346,3,0),IFERROR(VLOOKUP($I166,'Privacy Analyst Evaluation'!$A$46:$F$120,3,0),""))&amp;""</f>
        <v/>
      </c>
      <c r="L166" s="216" t="str">
        <f>IFERROR(VLOOKUP($I166,'Institution Evaluation'!$A$55:$F$346,4,0),IFERROR(VLOOKUP($I166,'Privacy Analyst Evaluation'!$A$46:$F$120,4,0),""))&amp;""</f>
        <v/>
      </c>
      <c r="M166" s="216" t="str">
        <f>IFERROR(VLOOKUP($I166,'Institution Evaluation'!$A$55:$F$346,6,0),IFERROR(VLOOKUP($I166,'Privacy Analyst Evaluation'!$A$46:$F$120,6,0),""))&amp;""</f>
        <v/>
      </c>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row>
    <row r="167" spans="1:338" x14ac:dyDescent="0.3">
      <c r="A167" s="216" t="str">
        <f>IFERROR(IF($A166+1&gt;'(backend scoring)'!$T$335,"",$A166+1),"")</f>
        <v/>
      </c>
      <c r="B167" s="216" t="str">
        <f>_xlfn.XLOOKUP($A167,'(backend scoring)'!$V$2:$V$333,'(backend scoring)'!$A$2:$A$333,"")</f>
        <v/>
      </c>
      <c r="C167" s="216" t="str">
        <f>IFERROR(VLOOKUP($B167,'Institution Evaluation'!$A$55:$F$346,2,0),IFERROR(VLOOKUP($B167,'Privacy Analyst Evaluation'!$A$46:$F$120,2,0),""))&amp;""</f>
        <v/>
      </c>
      <c r="D167" s="216" t="str">
        <f>IFERROR(VLOOKUP($B167,'Institution Evaluation'!$A$55:$F$346,3,0),IFERROR(VLOOKUP($B167,'Privacy Analyst Evaluation'!$A$46:$F$120,3,0),""))&amp;""</f>
        <v/>
      </c>
      <c r="E167" s="216" t="str">
        <f>IFERROR(VLOOKUP($B167,'Institution Evaluation'!$A$55:$F$346,4,0),IFERROR(VLOOKUP($B167,'Privacy Analyst Evaluation'!$A$46:$F$120,4,0),""))&amp;""</f>
        <v/>
      </c>
      <c r="F167" s="216" t="str">
        <f>IFERROR(VLOOKUP($B167,'Institution Evaluation'!$A$55:$F$346,6,0),IFERROR(VLOOKUP($B167,'Privacy Analyst Evaluation'!$A$46:$F$120,6,0),""))&amp;""</f>
        <v/>
      </c>
      <c r="G167" s="217"/>
      <c r="H167" s="216" t="str">
        <f>IFERROR(IF($H166+1&gt;'(backend scoring)'!$Q$335,"",$H166+1),"")</f>
        <v/>
      </c>
      <c r="I167" s="216" t="str">
        <f>_xlfn.XLOOKUP($H167,'(backend scoring)'!$S$2:$S$333,'(backend scoring)'!$A$2:$A$333,"")</f>
        <v/>
      </c>
      <c r="J167" s="216" t="str">
        <f>IFERROR(VLOOKUP($I167,'Institution Evaluation'!$A$55:$F$346,2,0),IFERROR(VLOOKUP($I167,'Privacy Analyst Evaluation'!$A$46:$F$120,2,0),""))</f>
        <v/>
      </c>
      <c r="K167" s="216" t="str">
        <f>IFERROR(VLOOKUP($I167,'Institution Evaluation'!$A$55:$F$346,3,0),IFERROR(VLOOKUP($I167,'Privacy Analyst Evaluation'!$A$46:$F$120,3,0),""))&amp;""</f>
        <v/>
      </c>
      <c r="L167" s="216" t="str">
        <f>IFERROR(VLOOKUP($I167,'Institution Evaluation'!$A$55:$F$346,4,0),IFERROR(VLOOKUP($I167,'Privacy Analyst Evaluation'!$A$46:$F$120,4,0),""))&amp;""</f>
        <v/>
      </c>
      <c r="M167" s="216" t="str">
        <f>IFERROR(VLOOKUP($I167,'Institution Evaluation'!$A$55:$F$346,6,0),IFERROR(VLOOKUP($I167,'Privacy Analyst Evaluation'!$A$46:$F$120,6,0),""))&amp;""</f>
        <v/>
      </c>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row>
    <row r="168" spans="1:338" x14ac:dyDescent="0.3">
      <c r="A168" s="216" t="str">
        <f>IFERROR(IF($A167+1&gt;'(backend scoring)'!$T$335,"",$A167+1),"")</f>
        <v/>
      </c>
      <c r="B168" s="216" t="str">
        <f>_xlfn.XLOOKUP($A168,'(backend scoring)'!$V$2:$V$333,'(backend scoring)'!$A$2:$A$333,"")</f>
        <v/>
      </c>
      <c r="C168" s="216" t="str">
        <f>IFERROR(VLOOKUP($B168,'Institution Evaluation'!$A$55:$F$346,2,0),IFERROR(VLOOKUP($B168,'Privacy Analyst Evaluation'!$A$46:$F$120,2,0),""))&amp;""</f>
        <v/>
      </c>
      <c r="D168" s="216" t="str">
        <f>IFERROR(VLOOKUP($B168,'Institution Evaluation'!$A$55:$F$346,3,0),IFERROR(VLOOKUP($B168,'Privacy Analyst Evaluation'!$A$46:$F$120,3,0),""))&amp;""</f>
        <v/>
      </c>
      <c r="E168" s="216" t="str">
        <f>IFERROR(VLOOKUP($B168,'Institution Evaluation'!$A$55:$F$346,4,0),IFERROR(VLOOKUP($B168,'Privacy Analyst Evaluation'!$A$46:$F$120,4,0),""))&amp;""</f>
        <v/>
      </c>
      <c r="F168" s="216" t="str">
        <f>IFERROR(VLOOKUP($B168,'Institution Evaluation'!$A$55:$F$346,6,0),IFERROR(VLOOKUP($B168,'Privacy Analyst Evaluation'!$A$46:$F$120,6,0),""))&amp;""</f>
        <v/>
      </c>
      <c r="G168" s="217"/>
      <c r="H168" s="216" t="str">
        <f>IFERROR(IF($H167+1&gt;'(backend scoring)'!$Q$335,"",$H167+1),"")</f>
        <v/>
      </c>
      <c r="I168" s="216" t="str">
        <f>_xlfn.XLOOKUP($H168,'(backend scoring)'!$S$2:$S$333,'(backend scoring)'!$A$2:$A$333,"")</f>
        <v/>
      </c>
      <c r="J168" s="216" t="str">
        <f>IFERROR(VLOOKUP($I168,'Institution Evaluation'!$A$55:$F$346,2,0),IFERROR(VLOOKUP($I168,'Privacy Analyst Evaluation'!$A$46:$F$120,2,0),""))</f>
        <v/>
      </c>
      <c r="K168" s="216" t="str">
        <f>IFERROR(VLOOKUP($I168,'Institution Evaluation'!$A$55:$F$346,3,0),IFERROR(VLOOKUP($I168,'Privacy Analyst Evaluation'!$A$46:$F$120,3,0),""))&amp;""</f>
        <v/>
      </c>
      <c r="L168" s="216" t="str">
        <f>IFERROR(VLOOKUP($I168,'Institution Evaluation'!$A$55:$F$346,4,0),IFERROR(VLOOKUP($I168,'Privacy Analyst Evaluation'!$A$46:$F$120,4,0),""))&amp;""</f>
        <v/>
      </c>
      <c r="M168" s="216" t="str">
        <f>IFERROR(VLOOKUP($I168,'Institution Evaluation'!$A$55:$F$346,6,0),IFERROR(VLOOKUP($I168,'Privacy Analyst Evaluation'!$A$46:$F$120,6,0),""))&amp;""</f>
        <v/>
      </c>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row>
    <row r="169" spans="1:338" x14ac:dyDescent="0.3">
      <c r="A169" s="216" t="str">
        <f>IFERROR(IF($A168+1&gt;'(backend scoring)'!$T$335,"",$A168+1),"")</f>
        <v/>
      </c>
      <c r="B169" s="216" t="str">
        <f>_xlfn.XLOOKUP($A169,'(backend scoring)'!$V$2:$V$333,'(backend scoring)'!$A$2:$A$333,"")</f>
        <v/>
      </c>
      <c r="C169" s="216" t="str">
        <f>IFERROR(VLOOKUP($B169,'Institution Evaluation'!$A$55:$F$346,2,0),IFERROR(VLOOKUP($B169,'Privacy Analyst Evaluation'!$A$46:$F$120,2,0),""))&amp;""</f>
        <v/>
      </c>
      <c r="D169" s="216" t="str">
        <f>IFERROR(VLOOKUP($B169,'Institution Evaluation'!$A$55:$F$346,3,0),IFERROR(VLOOKUP($B169,'Privacy Analyst Evaluation'!$A$46:$F$120,3,0),""))&amp;""</f>
        <v/>
      </c>
      <c r="E169" s="216" t="str">
        <f>IFERROR(VLOOKUP($B169,'Institution Evaluation'!$A$55:$F$346,4,0),IFERROR(VLOOKUP($B169,'Privacy Analyst Evaluation'!$A$46:$F$120,4,0),""))&amp;""</f>
        <v/>
      </c>
      <c r="F169" s="216" t="str">
        <f>IFERROR(VLOOKUP($B169,'Institution Evaluation'!$A$55:$F$346,6,0),IFERROR(VLOOKUP($B169,'Privacy Analyst Evaluation'!$A$46:$F$120,6,0),""))&amp;""</f>
        <v/>
      </c>
      <c r="G169" s="217"/>
      <c r="H169" s="216" t="str">
        <f>IFERROR(IF($H168+1&gt;'(backend scoring)'!$Q$335,"",$H168+1),"")</f>
        <v/>
      </c>
      <c r="I169" s="216" t="str">
        <f>_xlfn.XLOOKUP($H169,'(backend scoring)'!$S$2:$S$333,'(backend scoring)'!$A$2:$A$333,"")</f>
        <v/>
      </c>
      <c r="J169" s="216" t="str">
        <f>IFERROR(VLOOKUP($I169,'Institution Evaluation'!$A$55:$F$346,2,0),IFERROR(VLOOKUP($I169,'Privacy Analyst Evaluation'!$A$46:$F$120,2,0),""))</f>
        <v/>
      </c>
      <c r="K169" s="216" t="str">
        <f>IFERROR(VLOOKUP($I169,'Institution Evaluation'!$A$55:$F$346,3,0),IFERROR(VLOOKUP($I169,'Privacy Analyst Evaluation'!$A$46:$F$120,3,0),""))&amp;""</f>
        <v/>
      </c>
      <c r="L169" s="216" t="str">
        <f>IFERROR(VLOOKUP($I169,'Institution Evaluation'!$A$55:$F$346,4,0),IFERROR(VLOOKUP($I169,'Privacy Analyst Evaluation'!$A$46:$F$120,4,0),""))&amp;""</f>
        <v/>
      </c>
      <c r="M169" s="216" t="str">
        <f>IFERROR(VLOOKUP($I169,'Institution Evaluation'!$A$55:$F$346,6,0),IFERROR(VLOOKUP($I169,'Privacy Analyst Evaluation'!$A$46:$F$120,6,0),""))&amp;""</f>
        <v/>
      </c>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row>
    <row r="170" spans="1:338" x14ac:dyDescent="0.3">
      <c r="A170" s="216" t="str">
        <f>IFERROR(IF($A169+1&gt;'(backend scoring)'!$T$335,"",$A169+1),"")</f>
        <v/>
      </c>
      <c r="B170" s="216" t="str">
        <f>_xlfn.XLOOKUP($A170,'(backend scoring)'!$V$2:$V$333,'(backend scoring)'!$A$2:$A$333,"")</f>
        <v/>
      </c>
      <c r="C170" s="216" t="str">
        <f>IFERROR(VLOOKUP($B170,'Institution Evaluation'!$A$55:$F$346,2,0),IFERROR(VLOOKUP($B170,'Privacy Analyst Evaluation'!$A$46:$F$120,2,0),""))&amp;""</f>
        <v/>
      </c>
      <c r="D170" s="216" t="str">
        <f>IFERROR(VLOOKUP($B170,'Institution Evaluation'!$A$55:$F$346,3,0),IFERROR(VLOOKUP($B170,'Privacy Analyst Evaluation'!$A$46:$F$120,3,0),""))&amp;""</f>
        <v/>
      </c>
      <c r="E170" s="216" t="str">
        <f>IFERROR(VLOOKUP($B170,'Institution Evaluation'!$A$55:$F$346,4,0),IFERROR(VLOOKUP($B170,'Privacy Analyst Evaluation'!$A$46:$F$120,4,0),""))&amp;""</f>
        <v/>
      </c>
      <c r="F170" s="216" t="str">
        <f>IFERROR(VLOOKUP($B170,'Institution Evaluation'!$A$55:$F$346,6,0),IFERROR(VLOOKUP($B170,'Privacy Analyst Evaluation'!$A$46:$F$120,6,0),""))&amp;""</f>
        <v/>
      </c>
      <c r="G170" s="217"/>
      <c r="H170" s="216" t="str">
        <f>IFERROR(IF($H169+1&gt;'(backend scoring)'!$Q$335,"",$H169+1),"")</f>
        <v/>
      </c>
      <c r="I170" s="216" t="str">
        <f>_xlfn.XLOOKUP($H170,'(backend scoring)'!$S$2:$S$333,'(backend scoring)'!$A$2:$A$333,"")</f>
        <v/>
      </c>
      <c r="J170" s="216" t="str">
        <f>IFERROR(VLOOKUP($I170,'Institution Evaluation'!$A$55:$F$346,2,0),IFERROR(VLOOKUP($I170,'Privacy Analyst Evaluation'!$A$46:$F$120,2,0),""))</f>
        <v/>
      </c>
      <c r="K170" s="216" t="str">
        <f>IFERROR(VLOOKUP($I170,'Institution Evaluation'!$A$55:$F$346,3,0),IFERROR(VLOOKUP($I170,'Privacy Analyst Evaluation'!$A$46:$F$120,3,0),""))&amp;""</f>
        <v/>
      </c>
      <c r="L170" s="216" t="str">
        <f>IFERROR(VLOOKUP($I170,'Institution Evaluation'!$A$55:$F$346,4,0),IFERROR(VLOOKUP($I170,'Privacy Analyst Evaluation'!$A$46:$F$120,4,0),""))&amp;""</f>
        <v/>
      </c>
      <c r="M170" s="216" t="str">
        <f>IFERROR(VLOOKUP($I170,'Institution Evaluation'!$A$55:$F$346,6,0),IFERROR(VLOOKUP($I170,'Privacy Analyst Evaluation'!$A$46:$F$120,6,0),""))&amp;""</f>
        <v/>
      </c>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row>
    <row r="171" spans="1:338" x14ac:dyDescent="0.3">
      <c r="A171" s="216" t="str">
        <f>IFERROR(IF($A170+1&gt;'(backend scoring)'!$T$335,"",$A170+1),"")</f>
        <v/>
      </c>
      <c r="B171" s="216" t="str">
        <f>_xlfn.XLOOKUP($A171,'(backend scoring)'!$V$2:$V$333,'(backend scoring)'!$A$2:$A$333,"")</f>
        <v/>
      </c>
      <c r="C171" s="216" t="str">
        <f>IFERROR(VLOOKUP($B171,'Institution Evaluation'!$A$55:$F$346,2,0),IFERROR(VLOOKUP($B171,'Privacy Analyst Evaluation'!$A$46:$F$120,2,0),""))&amp;""</f>
        <v/>
      </c>
      <c r="D171" s="216" t="str">
        <f>IFERROR(VLOOKUP($B171,'Institution Evaluation'!$A$55:$F$346,3,0),IFERROR(VLOOKUP($B171,'Privacy Analyst Evaluation'!$A$46:$F$120,3,0),""))&amp;""</f>
        <v/>
      </c>
      <c r="E171" s="216" t="str">
        <f>IFERROR(VLOOKUP($B171,'Institution Evaluation'!$A$55:$F$346,4,0),IFERROR(VLOOKUP($B171,'Privacy Analyst Evaluation'!$A$46:$F$120,4,0),""))&amp;""</f>
        <v/>
      </c>
      <c r="F171" s="216" t="str">
        <f>IFERROR(VLOOKUP($B171,'Institution Evaluation'!$A$55:$F$346,6,0),IFERROR(VLOOKUP($B171,'Privacy Analyst Evaluation'!$A$46:$F$120,6,0),""))&amp;""</f>
        <v/>
      </c>
      <c r="G171" s="217"/>
      <c r="H171" s="216" t="str">
        <f>IFERROR(IF($H170+1&gt;'(backend scoring)'!$Q$335,"",$H170+1),"")</f>
        <v/>
      </c>
      <c r="I171" s="216" t="str">
        <f>_xlfn.XLOOKUP($H171,'(backend scoring)'!$S$2:$S$333,'(backend scoring)'!$A$2:$A$333,"")</f>
        <v/>
      </c>
      <c r="J171" s="216" t="str">
        <f>IFERROR(VLOOKUP($I171,'Institution Evaluation'!$A$55:$F$346,2,0),IFERROR(VLOOKUP($I171,'Privacy Analyst Evaluation'!$A$46:$F$120,2,0),""))</f>
        <v/>
      </c>
      <c r="K171" s="216" t="str">
        <f>IFERROR(VLOOKUP($I171,'Institution Evaluation'!$A$55:$F$346,3,0),IFERROR(VLOOKUP($I171,'Privacy Analyst Evaluation'!$A$46:$F$120,3,0),""))&amp;""</f>
        <v/>
      </c>
      <c r="L171" s="216" t="str">
        <f>IFERROR(VLOOKUP($I171,'Institution Evaluation'!$A$55:$F$346,4,0),IFERROR(VLOOKUP($I171,'Privacy Analyst Evaluation'!$A$46:$F$120,4,0),""))&amp;""</f>
        <v/>
      </c>
      <c r="M171" s="216" t="str">
        <f>IFERROR(VLOOKUP($I171,'Institution Evaluation'!$A$55:$F$346,6,0),IFERROR(VLOOKUP($I171,'Privacy Analyst Evaluation'!$A$46:$F$120,6,0),""))&amp;""</f>
        <v/>
      </c>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row>
    <row r="172" spans="1:338" x14ac:dyDescent="0.3">
      <c r="A172" s="216" t="str">
        <f>IFERROR(IF($A171+1&gt;'(backend scoring)'!$T$335,"",$A171+1),"")</f>
        <v/>
      </c>
      <c r="B172" s="216" t="str">
        <f>_xlfn.XLOOKUP($A172,'(backend scoring)'!$V$2:$V$333,'(backend scoring)'!$A$2:$A$333,"")</f>
        <v/>
      </c>
      <c r="C172" s="216" t="str">
        <f>IFERROR(VLOOKUP($B172,'Institution Evaluation'!$A$55:$F$346,2,0),IFERROR(VLOOKUP($B172,'Privacy Analyst Evaluation'!$A$46:$F$120,2,0),""))&amp;""</f>
        <v/>
      </c>
      <c r="D172" s="216" t="str">
        <f>IFERROR(VLOOKUP($B172,'Institution Evaluation'!$A$55:$F$346,3,0),IFERROR(VLOOKUP($B172,'Privacy Analyst Evaluation'!$A$46:$F$120,3,0),""))&amp;""</f>
        <v/>
      </c>
      <c r="E172" s="216" t="str">
        <f>IFERROR(VLOOKUP($B172,'Institution Evaluation'!$A$55:$F$346,4,0),IFERROR(VLOOKUP($B172,'Privacy Analyst Evaluation'!$A$46:$F$120,4,0),""))&amp;""</f>
        <v/>
      </c>
      <c r="F172" s="216" t="str">
        <f>IFERROR(VLOOKUP($B172,'Institution Evaluation'!$A$55:$F$346,6,0),IFERROR(VLOOKUP($B172,'Privacy Analyst Evaluation'!$A$46:$F$120,6,0),""))&amp;""</f>
        <v/>
      </c>
      <c r="G172" s="217"/>
      <c r="H172" s="216" t="str">
        <f>IFERROR(IF($H171+1&gt;'(backend scoring)'!$Q$335,"",$H171+1),"")</f>
        <v/>
      </c>
      <c r="I172" s="216" t="str">
        <f>_xlfn.XLOOKUP($H172,'(backend scoring)'!$S$2:$S$333,'(backend scoring)'!$A$2:$A$333,"")</f>
        <v/>
      </c>
      <c r="J172" s="216" t="str">
        <f>IFERROR(VLOOKUP($I172,'Institution Evaluation'!$A$55:$F$346,2,0),IFERROR(VLOOKUP($I172,'Privacy Analyst Evaluation'!$A$46:$F$120,2,0),""))</f>
        <v/>
      </c>
      <c r="K172" s="216" t="str">
        <f>IFERROR(VLOOKUP($I172,'Institution Evaluation'!$A$55:$F$346,3,0),IFERROR(VLOOKUP($I172,'Privacy Analyst Evaluation'!$A$46:$F$120,3,0),""))&amp;""</f>
        <v/>
      </c>
      <c r="L172" s="216" t="str">
        <f>IFERROR(VLOOKUP($I172,'Institution Evaluation'!$A$55:$F$346,4,0),IFERROR(VLOOKUP($I172,'Privacy Analyst Evaluation'!$A$46:$F$120,4,0),""))&amp;""</f>
        <v/>
      </c>
      <c r="M172" s="216" t="str">
        <f>IFERROR(VLOOKUP($I172,'Institution Evaluation'!$A$55:$F$346,6,0),IFERROR(VLOOKUP($I172,'Privacy Analyst Evaluation'!$A$46:$F$120,6,0),""))&amp;""</f>
        <v/>
      </c>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row>
    <row r="173" spans="1:338" x14ac:dyDescent="0.3">
      <c r="A173" s="216" t="str">
        <f>IFERROR(IF($A172+1&gt;'(backend scoring)'!$T$335,"",$A172+1),"")</f>
        <v/>
      </c>
      <c r="B173" s="216" t="str">
        <f>_xlfn.XLOOKUP($A173,'(backend scoring)'!$V$2:$V$333,'(backend scoring)'!$A$2:$A$333,"")</f>
        <v/>
      </c>
      <c r="C173" s="216" t="str">
        <f>IFERROR(VLOOKUP($B173,'Institution Evaluation'!$A$55:$F$346,2,0),IFERROR(VLOOKUP($B173,'Privacy Analyst Evaluation'!$A$46:$F$120,2,0),""))&amp;""</f>
        <v/>
      </c>
      <c r="D173" s="216" t="str">
        <f>IFERROR(VLOOKUP($B173,'Institution Evaluation'!$A$55:$F$346,3,0),IFERROR(VLOOKUP($B173,'Privacy Analyst Evaluation'!$A$46:$F$120,3,0),""))&amp;""</f>
        <v/>
      </c>
      <c r="E173" s="216" t="str">
        <f>IFERROR(VLOOKUP($B173,'Institution Evaluation'!$A$55:$F$346,4,0),IFERROR(VLOOKUP($B173,'Privacy Analyst Evaluation'!$A$46:$F$120,4,0),""))&amp;""</f>
        <v/>
      </c>
      <c r="F173" s="216" t="str">
        <f>IFERROR(VLOOKUP($B173,'Institution Evaluation'!$A$55:$F$346,6,0),IFERROR(VLOOKUP($B173,'Privacy Analyst Evaluation'!$A$46:$F$120,6,0),""))&amp;""</f>
        <v/>
      </c>
      <c r="G173" s="217"/>
      <c r="H173" s="216" t="str">
        <f>IFERROR(IF($H172+1&gt;'(backend scoring)'!$Q$335,"",$H172+1),"")</f>
        <v/>
      </c>
      <c r="I173" s="216" t="str">
        <f>_xlfn.XLOOKUP($H173,'(backend scoring)'!$S$2:$S$333,'(backend scoring)'!$A$2:$A$333,"")</f>
        <v/>
      </c>
      <c r="J173" s="216" t="str">
        <f>IFERROR(VLOOKUP($I173,'Institution Evaluation'!$A$55:$F$346,2,0),IFERROR(VLOOKUP($I173,'Privacy Analyst Evaluation'!$A$46:$F$120,2,0),""))</f>
        <v/>
      </c>
      <c r="K173" s="216" t="str">
        <f>IFERROR(VLOOKUP($I173,'Institution Evaluation'!$A$55:$F$346,3,0),IFERROR(VLOOKUP($I173,'Privacy Analyst Evaluation'!$A$46:$F$120,3,0),""))&amp;""</f>
        <v/>
      </c>
      <c r="L173" s="216" t="str">
        <f>IFERROR(VLOOKUP($I173,'Institution Evaluation'!$A$55:$F$346,4,0),IFERROR(VLOOKUP($I173,'Privacy Analyst Evaluation'!$A$46:$F$120,4,0),""))&amp;""</f>
        <v/>
      </c>
      <c r="M173" s="216" t="str">
        <f>IFERROR(VLOOKUP($I173,'Institution Evaluation'!$A$55:$F$346,6,0),IFERROR(VLOOKUP($I173,'Privacy Analyst Evaluation'!$A$46:$F$120,6,0),""))&amp;""</f>
        <v/>
      </c>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row>
    <row r="174" spans="1:338" x14ac:dyDescent="0.3">
      <c r="A174" s="216" t="str">
        <f>IFERROR(IF($A173+1&gt;'(backend scoring)'!$T$335,"",$A173+1),"")</f>
        <v/>
      </c>
      <c r="B174" s="216" t="str">
        <f>_xlfn.XLOOKUP($A174,'(backend scoring)'!$V$2:$V$333,'(backend scoring)'!$A$2:$A$333,"")</f>
        <v/>
      </c>
      <c r="C174" s="216" t="str">
        <f>IFERROR(VLOOKUP($B174,'Institution Evaluation'!$A$55:$F$346,2,0),IFERROR(VLOOKUP($B174,'Privacy Analyst Evaluation'!$A$46:$F$120,2,0),""))&amp;""</f>
        <v/>
      </c>
      <c r="D174" s="216" t="str">
        <f>IFERROR(VLOOKUP($B174,'Institution Evaluation'!$A$55:$F$346,3,0),IFERROR(VLOOKUP($B174,'Privacy Analyst Evaluation'!$A$46:$F$120,3,0),""))&amp;""</f>
        <v/>
      </c>
      <c r="E174" s="216" t="str">
        <f>IFERROR(VLOOKUP($B174,'Institution Evaluation'!$A$55:$F$346,4,0),IFERROR(VLOOKUP($B174,'Privacy Analyst Evaluation'!$A$46:$F$120,4,0),""))&amp;""</f>
        <v/>
      </c>
      <c r="F174" s="216" t="str">
        <f>IFERROR(VLOOKUP($B174,'Institution Evaluation'!$A$55:$F$346,6,0),IFERROR(VLOOKUP($B174,'Privacy Analyst Evaluation'!$A$46:$F$120,6,0),""))&amp;""</f>
        <v/>
      </c>
      <c r="G174" s="217"/>
      <c r="H174" s="216" t="str">
        <f>IFERROR(IF($H173+1&gt;'(backend scoring)'!$Q$335,"",$H173+1),"")</f>
        <v/>
      </c>
      <c r="I174" s="216" t="str">
        <f>_xlfn.XLOOKUP($H174,'(backend scoring)'!$S$2:$S$333,'(backend scoring)'!$A$2:$A$333,"")</f>
        <v/>
      </c>
      <c r="J174" s="216" t="str">
        <f>IFERROR(VLOOKUP($I174,'Institution Evaluation'!$A$55:$F$346,2,0),IFERROR(VLOOKUP($I174,'Privacy Analyst Evaluation'!$A$46:$F$120,2,0),""))</f>
        <v/>
      </c>
      <c r="K174" s="216" t="str">
        <f>IFERROR(VLOOKUP($I174,'Institution Evaluation'!$A$55:$F$346,3,0),IFERROR(VLOOKUP($I174,'Privacy Analyst Evaluation'!$A$46:$F$120,3,0),""))&amp;""</f>
        <v/>
      </c>
      <c r="L174" s="216" t="str">
        <f>IFERROR(VLOOKUP($I174,'Institution Evaluation'!$A$55:$F$346,4,0),IFERROR(VLOOKUP($I174,'Privacy Analyst Evaluation'!$A$46:$F$120,4,0),""))&amp;""</f>
        <v/>
      </c>
      <c r="M174" s="216" t="str">
        <f>IFERROR(VLOOKUP($I174,'Institution Evaluation'!$A$55:$F$346,6,0),IFERROR(VLOOKUP($I174,'Privacy Analyst Evaluation'!$A$46:$F$120,6,0),""))&amp;""</f>
        <v/>
      </c>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row>
    <row r="175" spans="1:338" x14ac:dyDescent="0.3">
      <c r="A175" s="216" t="str">
        <f>IFERROR(IF($A174+1&gt;'(backend scoring)'!$T$335,"",$A174+1),"")</f>
        <v/>
      </c>
      <c r="B175" s="216" t="str">
        <f>_xlfn.XLOOKUP($A175,'(backend scoring)'!$V$2:$V$333,'(backend scoring)'!$A$2:$A$333,"")</f>
        <v/>
      </c>
      <c r="C175" s="216" t="str">
        <f>IFERROR(VLOOKUP($B175,'Institution Evaluation'!$A$55:$F$346,2,0),IFERROR(VLOOKUP($B175,'Privacy Analyst Evaluation'!$A$46:$F$120,2,0),""))&amp;""</f>
        <v/>
      </c>
      <c r="D175" s="216" t="str">
        <f>IFERROR(VLOOKUP($B175,'Institution Evaluation'!$A$55:$F$346,3,0),IFERROR(VLOOKUP($B175,'Privacy Analyst Evaluation'!$A$46:$F$120,3,0),""))&amp;""</f>
        <v/>
      </c>
      <c r="E175" s="216" t="str">
        <f>IFERROR(VLOOKUP($B175,'Institution Evaluation'!$A$55:$F$346,4,0),IFERROR(VLOOKUP($B175,'Privacy Analyst Evaluation'!$A$46:$F$120,4,0),""))&amp;""</f>
        <v/>
      </c>
      <c r="F175" s="216" t="str">
        <f>IFERROR(VLOOKUP($B175,'Institution Evaluation'!$A$55:$F$346,6,0),IFERROR(VLOOKUP($B175,'Privacy Analyst Evaluation'!$A$46:$F$120,6,0),""))&amp;""</f>
        <v/>
      </c>
      <c r="G175" s="217"/>
      <c r="H175" s="216" t="str">
        <f>IFERROR(IF($H174+1&gt;'(backend scoring)'!$Q$335,"",$H174+1),"")</f>
        <v/>
      </c>
      <c r="I175" s="216" t="str">
        <f>_xlfn.XLOOKUP($H175,'(backend scoring)'!$S$2:$S$333,'(backend scoring)'!$A$2:$A$333,"")</f>
        <v/>
      </c>
      <c r="J175" s="216" t="str">
        <f>IFERROR(VLOOKUP($I175,'Institution Evaluation'!$A$55:$F$346,2,0),IFERROR(VLOOKUP($I175,'Privacy Analyst Evaluation'!$A$46:$F$120,2,0),""))</f>
        <v/>
      </c>
      <c r="K175" s="216" t="str">
        <f>IFERROR(VLOOKUP($I175,'Institution Evaluation'!$A$55:$F$346,3,0),IFERROR(VLOOKUP($I175,'Privacy Analyst Evaluation'!$A$46:$F$120,3,0),""))&amp;""</f>
        <v/>
      </c>
      <c r="L175" s="216" t="str">
        <f>IFERROR(VLOOKUP($I175,'Institution Evaluation'!$A$55:$F$346,4,0),IFERROR(VLOOKUP($I175,'Privacy Analyst Evaluation'!$A$46:$F$120,4,0),""))&amp;""</f>
        <v/>
      </c>
      <c r="M175" s="216" t="str">
        <f>IFERROR(VLOOKUP($I175,'Institution Evaluation'!$A$55:$F$346,6,0),IFERROR(VLOOKUP($I175,'Privacy Analyst Evaluation'!$A$46:$F$120,6,0),""))&amp;""</f>
        <v/>
      </c>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row>
    <row r="176" spans="1:338" x14ac:dyDescent="0.3">
      <c r="A176" s="216" t="str">
        <f>IFERROR(IF($A175+1&gt;'(backend scoring)'!$T$335,"",$A175+1),"")</f>
        <v/>
      </c>
      <c r="B176" s="216" t="str">
        <f>_xlfn.XLOOKUP($A176,'(backend scoring)'!$V$2:$V$333,'(backend scoring)'!$A$2:$A$333,"")</f>
        <v/>
      </c>
      <c r="C176" s="216" t="str">
        <f>IFERROR(VLOOKUP($B176,'Institution Evaluation'!$A$55:$F$346,2,0),IFERROR(VLOOKUP($B176,'Privacy Analyst Evaluation'!$A$46:$F$120,2,0),""))&amp;""</f>
        <v/>
      </c>
      <c r="D176" s="216" t="str">
        <f>IFERROR(VLOOKUP($B176,'Institution Evaluation'!$A$55:$F$346,3,0),IFERROR(VLOOKUP($B176,'Privacy Analyst Evaluation'!$A$46:$F$120,3,0),""))&amp;""</f>
        <v/>
      </c>
      <c r="E176" s="216" t="str">
        <f>IFERROR(VLOOKUP($B176,'Institution Evaluation'!$A$55:$F$346,4,0),IFERROR(VLOOKUP($B176,'Privacy Analyst Evaluation'!$A$46:$F$120,4,0),""))&amp;""</f>
        <v/>
      </c>
      <c r="F176" s="216" t="str">
        <f>IFERROR(VLOOKUP($B176,'Institution Evaluation'!$A$55:$F$346,6,0),IFERROR(VLOOKUP($B176,'Privacy Analyst Evaluation'!$A$46:$F$120,6,0),""))&amp;""</f>
        <v/>
      </c>
      <c r="G176" s="217"/>
      <c r="H176" s="216" t="str">
        <f>IFERROR(IF($H175+1&gt;'(backend scoring)'!$Q$335,"",$H175+1),"")</f>
        <v/>
      </c>
      <c r="I176" s="216" t="str">
        <f>_xlfn.XLOOKUP($H176,'(backend scoring)'!$S$2:$S$333,'(backend scoring)'!$A$2:$A$333,"")</f>
        <v/>
      </c>
      <c r="J176" s="216" t="str">
        <f>IFERROR(VLOOKUP($I176,'Institution Evaluation'!$A$55:$F$346,2,0),IFERROR(VLOOKUP($I176,'Privacy Analyst Evaluation'!$A$46:$F$120,2,0),""))</f>
        <v/>
      </c>
      <c r="K176" s="216" t="str">
        <f>IFERROR(VLOOKUP($I176,'Institution Evaluation'!$A$55:$F$346,3,0),IFERROR(VLOOKUP($I176,'Privacy Analyst Evaluation'!$A$46:$F$120,3,0),""))&amp;""</f>
        <v/>
      </c>
      <c r="L176" s="216" t="str">
        <f>IFERROR(VLOOKUP($I176,'Institution Evaluation'!$A$55:$F$346,4,0),IFERROR(VLOOKUP($I176,'Privacy Analyst Evaluation'!$A$46:$F$120,4,0),""))&amp;""</f>
        <v/>
      </c>
      <c r="M176" s="216" t="str">
        <f>IFERROR(VLOOKUP($I176,'Institution Evaluation'!$A$55:$F$346,6,0),IFERROR(VLOOKUP($I176,'Privacy Analyst Evaluation'!$A$46:$F$120,6,0),""))&amp;""</f>
        <v/>
      </c>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row>
    <row r="177" spans="1:338" x14ac:dyDescent="0.3">
      <c r="A177" s="216" t="str">
        <f>IFERROR(IF($A176+1&gt;'(backend scoring)'!$T$335,"",$A176+1),"")</f>
        <v/>
      </c>
      <c r="B177" s="216" t="str">
        <f>_xlfn.XLOOKUP($A177,'(backend scoring)'!$V$2:$V$333,'(backend scoring)'!$A$2:$A$333,"")</f>
        <v/>
      </c>
      <c r="C177" s="216" t="str">
        <f>IFERROR(VLOOKUP($B177,'Institution Evaluation'!$A$55:$F$346,2,0),IFERROR(VLOOKUP($B177,'Privacy Analyst Evaluation'!$A$46:$F$120,2,0),""))&amp;""</f>
        <v/>
      </c>
      <c r="D177" s="216" t="str">
        <f>IFERROR(VLOOKUP($B177,'Institution Evaluation'!$A$55:$F$346,3,0),IFERROR(VLOOKUP($B177,'Privacy Analyst Evaluation'!$A$46:$F$120,3,0),""))&amp;""</f>
        <v/>
      </c>
      <c r="E177" s="216" t="str">
        <f>IFERROR(VLOOKUP($B177,'Institution Evaluation'!$A$55:$F$346,4,0),IFERROR(VLOOKUP($B177,'Privacy Analyst Evaluation'!$A$46:$F$120,4,0),""))&amp;""</f>
        <v/>
      </c>
      <c r="F177" s="216" t="str">
        <f>IFERROR(VLOOKUP($B177,'Institution Evaluation'!$A$55:$F$346,6,0),IFERROR(VLOOKUP($B177,'Privacy Analyst Evaluation'!$A$46:$F$120,6,0),""))&amp;""</f>
        <v/>
      </c>
      <c r="G177" s="217"/>
      <c r="H177" s="216" t="str">
        <f>IFERROR(IF($H176+1&gt;'(backend scoring)'!$Q$335,"",$H176+1),"")</f>
        <v/>
      </c>
      <c r="I177" s="216" t="str">
        <f>_xlfn.XLOOKUP($H177,'(backend scoring)'!$S$2:$S$333,'(backend scoring)'!$A$2:$A$333,"")</f>
        <v/>
      </c>
      <c r="J177" s="216" t="str">
        <f>IFERROR(VLOOKUP($I177,'Institution Evaluation'!$A$55:$F$346,2,0),IFERROR(VLOOKUP($I177,'Privacy Analyst Evaluation'!$A$46:$F$120,2,0),""))</f>
        <v/>
      </c>
      <c r="K177" s="216" t="str">
        <f>IFERROR(VLOOKUP($I177,'Institution Evaluation'!$A$55:$F$346,3,0),IFERROR(VLOOKUP($I177,'Privacy Analyst Evaluation'!$A$46:$F$120,3,0),""))&amp;""</f>
        <v/>
      </c>
      <c r="L177" s="216" t="str">
        <f>IFERROR(VLOOKUP($I177,'Institution Evaluation'!$A$55:$F$346,4,0),IFERROR(VLOOKUP($I177,'Privacy Analyst Evaluation'!$A$46:$F$120,4,0),""))&amp;""</f>
        <v/>
      </c>
      <c r="M177" s="216" t="str">
        <f>IFERROR(VLOOKUP($I177,'Institution Evaluation'!$A$55:$F$346,6,0),IFERROR(VLOOKUP($I177,'Privacy Analyst Evaluation'!$A$46:$F$120,6,0),""))&amp;""</f>
        <v/>
      </c>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row>
    <row r="178" spans="1:338" x14ac:dyDescent="0.3">
      <c r="A178" s="216" t="str">
        <f>IFERROR(IF($A177+1&gt;'(backend scoring)'!$T$335,"",$A177+1),"")</f>
        <v/>
      </c>
      <c r="B178" s="216" t="str">
        <f>_xlfn.XLOOKUP($A178,'(backend scoring)'!$V$2:$V$333,'(backend scoring)'!$A$2:$A$333,"")</f>
        <v/>
      </c>
      <c r="C178" s="216" t="str">
        <f>IFERROR(VLOOKUP($B178,'Institution Evaluation'!$A$55:$F$346,2,0),IFERROR(VLOOKUP($B178,'Privacy Analyst Evaluation'!$A$46:$F$120,2,0),""))&amp;""</f>
        <v/>
      </c>
      <c r="D178" s="216" t="str">
        <f>IFERROR(VLOOKUP($B178,'Institution Evaluation'!$A$55:$F$346,3,0),IFERROR(VLOOKUP($B178,'Privacy Analyst Evaluation'!$A$46:$F$120,3,0),""))&amp;""</f>
        <v/>
      </c>
      <c r="E178" s="216" t="str">
        <f>IFERROR(VLOOKUP($B178,'Institution Evaluation'!$A$55:$F$346,4,0),IFERROR(VLOOKUP($B178,'Privacy Analyst Evaluation'!$A$46:$F$120,4,0),""))&amp;""</f>
        <v/>
      </c>
      <c r="F178" s="216" t="str">
        <f>IFERROR(VLOOKUP($B178,'Institution Evaluation'!$A$55:$F$346,6,0),IFERROR(VLOOKUP($B178,'Privacy Analyst Evaluation'!$A$46:$F$120,6,0),""))&amp;""</f>
        <v/>
      </c>
      <c r="G178" s="217"/>
      <c r="H178" s="216" t="str">
        <f>IFERROR(IF($H177+1&gt;'(backend scoring)'!$Q$335,"",$H177+1),"")</f>
        <v/>
      </c>
      <c r="I178" s="216" t="str">
        <f>_xlfn.XLOOKUP($H178,'(backend scoring)'!$S$2:$S$333,'(backend scoring)'!$A$2:$A$333,"")</f>
        <v/>
      </c>
      <c r="J178" s="216" t="str">
        <f>IFERROR(VLOOKUP($I178,'Institution Evaluation'!$A$55:$F$346,2,0),IFERROR(VLOOKUP($I178,'Privacy Analyst Evaluation'!$A$46:$F$120,2,0),""))</f>
        <v/>
      </c>
      <c r="K178" s="216" t="str">
        <f>IFERROR(VLOOKUP($I178,'Institution Evaluation'!$A$55:$F$346,3,0),IFERROR(VLOOKUP($I178,'Privacy Analyst Evaluation'!$A$46:$F$120,3,0),""))&amp;""</f>
        <v/>
      </c>
      <c r="L178" s="216" t="str">
        <f>IFERROR(VLOOKUP($I178,'Institution Evaluation'!$A$55:$F$346,4,0),IFERROR(VLOOKUP($I178,'Privacy Analyst Evaluation'!$A$46:$F$120,4,0),""))&amp;""</f>
        <v/>
      </c>
      <c r="M178" s="216" t="str">
        <f>IFERROR(VLOOKUP($I178,'Institution Evaluation'!$A$55:$F$346,6,0),IFERROR(VLOOKUP($I178,'Privacy Analyst Evaluation'!$A$46:$F$120,6,0),""))&amp;""</f>
        <v/>
      </c>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row>
    <row r="179" spans="1:338" x14ac:dyDescent="0.3">
      <c r="A179" s="216" t="str">
        <f>IFERROR(IF($A178+1&gt;'(backend scoring)'!$T$335,"",$A178+1),"")</f>
        <v/>
      </c>
      <c r="B179" s="216" t="str">
        <f>_xlfn.XLOOKUP($A179,'(backend scoring)'!$V$2:$V$333,'(backend scoring)'!$A$2:$A$333,"")</f>
        <v/>
      </c>
      <c r="C179" s="216" t="str">
        <f>IFERROR(VLOOKUP($B179,'Institution Evaluation'!$A$55:$F$346,2,0),IFERROR(VLOOKUP($B179,'Privacy Analyst Evaluation'!$A$46:$F$120,2,0),""))&amp;""</f>
        <v/>
      </c>
      <c r="D179" s="216" t="str">
        <f>IFERROR(VLOOKUP($B179,'Institution Evaluation'!$A$55:$F$346,3,0),IFERROR(VLOOKUP($B179,'Privacy Analyst Evaluation'!$A$46:$F$120,3,0),""))&amp;""</f>
        <v/>
      </c>
      <c r="E179" s="216" t="str">
        <f>IFERROR(VLOOKUP($B179,'Institution Evaluation'!$A$55:$F$346,4,0),IFERROR(VLOOKUP($B179,'Privacy Analyst Evaluation'!$A$46:$F$120,4,0),""))&amp;""</f>
        <v/>
      </c>
      <c r="F179" s="216" t="str">
        <f>IFERROR(VLOOKUP($B179,'Institution Evaluation'!$A$55:$F$346,6,0),IFERROR(VLOOKUP($B179,'Privacy Analyst Evaluation'!$A$46:$F$120,6,0),""))&amp;""</f>
        <v/>
      </c>
      <c r="G179" s="217"/>
      <c r="H179" s="216" t="str">
        <f>IFERROR(IF($H178+1&gt;'(backend scoring)'!$Q$335,"",$H178+1),"")</f>
        <v/>
      </c>
      <c r="I179" s="216" t="str">
        <f>_xlfn.XLOOKUP($H179,'(backend scoring)'!$S$2:$S$333,'(backend scoring)'!$A$2:$A$333,"")</f>
        <v/>
      </c>
      <c r="J179" s="216" t="str">
        <f>IFERROR(VLOOKUP($I179,'Institution Evaluation'!$A$55:$F$346,2,0),IFERROR(VLOOKUP($I179,'Privacy Analyst Evaluation'!$A$46:$F$120,2,0),""))</f>
        <v/>
      </c>
      <c r="K179" s="216" t="str">
        <f>IFERROR(VLOOKUP($I179,'Institution Evaluation'!$A$55:$F$346,3,0),IFERROR(VLOOKUP($I179,'Privacy Analyst Evaluation'!$A$46:$F$120,3,0),""))&amp;""</f>
        <v/>
      </c>
      <c r="L179" s="216" t="str">
        <f>IFERROR(VLOOKUP($I179,'Institution Evaluation'!$A$55:$F$346,4,0),IFERROR(VLOOKUP($I179,'Privacy Analyst Evaluation'!$A$46:$F$120,4,0),""))&amp;""</f>
        <v/>
      </c>
      <c r="M179" s="216" t="str">
        <f>IFERROR(VLOOKUP($I179,'Institution Evaluation'!$A$55:$F$346,6,0),IFERROR(VLOOKUP($I179,'Privacy Analyst Evaluation'!$A$46:$F$120,6,0),""))&amp;""</f>
        <v/>
      </c>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row>
    <row r="180" spans="1:338" x14ac:dyDescent="0.3">
      <c r="A180" s="216" t="str">
        <f>IFERROR(IF($A179+1&gt;'(backend scoring)'!$T$335,"",$A179+1),"")</f>
        <v/>
      </c>
      <c r="B180" s="216" t="str">
        <f>_xlfn.XLOOKUP($A180,'(backend scoring)'!$V$2:$V$333,'(backend scoring)'!$A$2:$A$333,"")</f>
        <v/>
      </c>
      <c r="C180" s="216" t="str">
        <f>IFERROR(VLOOKUP($B180,'Institution Evaluation'!$A$55:$F$346,2,0),IFERROR(VLOOKUP($B180,'Privacy Analyst Evaluation'!$A$46:$F$120,2,0),""))&amp;""</f>
        <v/>
      </c>
      <c r="D180" s="216" t="str">
        <f>IFERROR(VLOOKUP($B180,'Institution Evaluation'!$A$55:$F$346,3,0),IFERROR(VLOOKUP($B180,'Privacy Analyst Evaluation'!$A$46:$F$120,3,0),""))&amp;""</f>
        <v/>
      </c>
      <c r="E180" s="216" t="str">
        <f>IFERROR(VLOOKUP($B180,'Institution Evaluation'!$A$55:$F$346,4,0),IFERROR(VLOOKUP($B180,'Privacy Analyst Evaluation'!$A$46:$F$120,4,0),""))&amp;""</f>
        <v/>
      </c>
      <c r="F180" s="216" t="str">
        <f>IFERROR(VLOOKUP($B180,'Institution Evaluation'!$A$55:$F$346,6,0),IFERROR(VLOOKUP($B180,'Privacy Analyst Evaluation'!$A$46:$F$120,6,0),""))&amp;""</f>
        <v/>
      </c>
      <c r="G180" s="217"/>
      <c r="H180" s="216" t="str">
        <f>IFERROR(IF($H179+1&gt;'(backend scoring)'!$Q$335,"",$H179+1),"")</f>
        <v/>
      </c>
      <c r="I180" s="216" t="str">
        <f>_xlfn.XLOOKUP($H180,'(backend scoring)'!$S$2:$S$333,'(backend scoring)'!$A$2:$A$333,"")</f>
        <v/>
      </c>
      <c r="J180" s="216" t="str">
        <f>IFERROR(VLOOKUP($I180,'Institution Evaluation'!$A$55:$F$346,2,0),IFERROR(VLOOKUP($I180,'Privacy Analyst Evaluation'!$A$46:$F$120,2,0),""))</f>
        <v/>
      </c>
      <c r="K180" s="216" t="str">
        <f>IFERROR(VLOOKUP($I180,'Institution Evaluation'!$A$55:$F$346,3,0),IFERROR(VLOOKUP($I180,'Privacy Analyst Evaluation'!$A$46:$F$120,3,0),""))&amp;""</f>
        <v/>
      </c>
      <c r="L180" s="216" t="str">
        <f>IFERROR(VLOOKUP($I180,'Institution Evaluation'!$A$55:$F$346,4,0),IFERROR(VLOOKUP($I180,'Privacy Analyst Evaluation'!$A$46:$F$120,4,0),""))&amp;""</f>
        <v/>
      </c>
      <c r="M180" s="216" t="str">
        <f>IFERROR(VLOOKUP($I180,'Institution Evaluation'!$A$55:$F$346,6,0),IFERROR(VLOOKUP($I180,'Privacy Analyst Evaluation'!$A$46:$F$120,6,0),""))&amp;""</f>
        <v/>
      </c>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row>
    <row r="181" spans="1:338" x14ac:dyDescent="0.3">
      <c r="A181" s="216" t="str">
        <f>IFERROR(IF($A180+1&gt;'(backend scoring)'!$T$335,"",$A180+1),"")</f>
        <v/>
      </c>
      <c r="B181" s="216" t="str">
        <f>_xlfn.XLOOKUP($A181,'(backend scoring)'!$V$2:$V$333,'(backend scoring)'!$A$2:$A$333,"")</f>
        <v/>
      </c>
      <c r="C181" s="216" t="str">
        <f>IFERROR(VLOOKUP($B181,'Institution Evaluation'!$A$55:$F$346,2,0),IFERROR(VLOOKUP($B181,'Privacy Analyst Evaluation'!$A$46:$F$120,2,0),""))&amp;""</f>
        <v/>
      </c>
      <c r="D181" s="216" t="str">
        <f>IFERROR(VLOOKUP($B181,'Institution Evaluation'!$A$55:$F$346,3,0),IFERROR(VLOOKUP($B181,'Privacy Analyst Evaluation'!$A$46:$F$120,3,0),""))&amp;""</f>
        <v/>
      </c>
      <c r="E181" s="216" t="str">
        <f>IFERROR(VLOOKUP($B181,'Institution Evaluation'!$A$55:$F$346,4,0),IFERROR(VLOOKUP($B181,'Privacy Analyst Evaluation'!$A$46:$F$120,4,0),""))&amp;""</f>
        <v/>
      </c>
      <c r="F181" s="216" t="str">
        <f>IFERROR(VLOOKUP($B181,'Institution Evaluation'!$A$55:$F$346,6,0),IFERROR(VLOOKUP($B181,'Privacy Analyst Evaluation'!$A$46:$F$120,6,0),""))&amp;""</f>
        <v/>
      </c>
      <c r="G181" s="217"/>
      <c r="H181" s="216" t="str">
        <f>IFERROR(IF($H180+1&gt;'(backend scoring)'!$Q$335,"",$H180+1),"")</f>
        <v/>
      </c>
      <c r="I181" s="216" t="str">
        <f>_xlfn.XLOOKUP($H181,'(backend scoring)'!$S$2:$S$333,'(backend scoring)'!$A$2:$A$333,"")</f>
        <v/>
      </c>
      <c r="J181" s="216" t="str">
        <f>IFERROR(VLOOKUP($I181,'Institution Evaluation'!$A$55:$F$346,2,0),IFERROR(VLOOKUP($I181,'Privacy Analyst Evaluation'!$A$46:$F$120,2,0),""))</f>
        <v/>
      </c>
      <c r="K181" s="216" t="str">
        <f>IFERROR(VLOOKUP($I181,'Institution Evaluation'!$A$55:$F$346,3,0),IFERROR(VLOOKUP($I181,'Privacy Analyst Evaluation'!$A$46:$F$120,3,0),""))&amp;""</f>
        <v/>
      </c>
      <c r="L181" s="216" t="str">
        <f>IFERROR(VLOOKUP($I181,'Institution Evaluation'!$A$55:$F$346,4,0),IFERROR(VLOOKUP($I181,'Privacy Analyst Evaluation'!$A$46:$F$120,4,0),""))&amp;""</f>
        <v/>
      </c>
      <c r="M181" s="216" t="str">
        <f>IFERROR(VLOOKUP($I181,'Institution Evaluation'!$A$55:$F$346,6,0),IFERROR(VLOOKUP($I181,'Privacy Analyst Evaluation'!$A$46:$F$120,6,0),""))&amp;""</f>
        <v/>
      </c>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row>
    <row r="182" spans="1:338" x14ac:dyDescent="0.3">
      <c r="A182" s="216" t="str">
        <f>IFERROR(IF($A181+1&gt;'(backend scoring)'!$T$335,"",$A181+1),"")</f>
        <v/>
      </c>
      <c r="B182" s="216" t="str">
        <f>_xlfn.XLOOKUP($A182,'(backend scoring)'!$V$2:$V$333,'(backend scoring)'!$A$2:$A$333,"")</f>
        <v/>
      </c>
      <c r="C182" s="216" t="str">
        <f>IFERROR(VLOOKUP($B182,'Institution Evaluation'!$A$55:$F$346,2,0),IFERROR(VLOOKUP($B182,'Privacy Analyst Evaluation'!$A$46:$F$120,2,0),""))&amp;""</f>
        <v/>
      </c>
      <c r="D182" s="216" t="str">
        <f>IFERROR(VLOOKUP($B182,'Institution Evaluation'!$A$55:$F$346,3,0),IFERROR(VLOOKUP($B182,'Privacy Analyst Evaluation'!$A$46:$F$120,3,0),""))&amp;""</f>
        <v/>
      </c>
      <c r="E182" s="216" t="str">
        <f>IFERROR(VLOOKUP($B182,'Institution Evaluation'!$A$55:$F$346,4,0),IFERROR(VLOOKUP($B182,'Privacy Analyst Evaluation'!$A$46:$F$120,4,0),""))&amp;""</f>
        <v/>
      </c>
      <c r="F182" s="216" t="str">
        <f>IFERROR(VLOOKUP($B182,'Institution Evaluation'!$A$55:$F$346,6,0),IFERROR(VLOOKUP($B182,'Privacy Analyst Evaluation'!$A$46:$F$120,6,0),""))&amp;""</f>
        <v/>
      </c>
      <c r="G182" s="217"/>
      <c r="H182" s="216" t="str">
        <f>IFERROR(IF($H181+1&gt;'(backend scoring)'!$Q$335,"",$H181+1),"")</f>
        <v/>
      </c>
      <c r="I182" s="216" t="str">
        <f>_xlfn.XLOOKUP($H182,'(backend scoring)'!$S$2:$S$333,'(backend scoring)'!$A$2:$A$333,"")</f>
        <v/>
      </c>
      <c r="J182" s="216" t="str">
        <f>IFERROR(VLOOKUP($I182,'Institution Evaluation'!$A$55:$F$346,2,0),IFERROR(VLOOKUP($I182,'Privacy Analyst Evaluation'!$A$46:$F$120,2,0),""))</f>
        <v/>
      </c>
      <c r="K182" s="216" t="str">
        <f>IFERROR(VLOOKUP($I182,'Institution Evaluation'!$A$55:$F$346,3,0),IFERROR(VLOOKUP($I182,'Privacy Analyst Evaluation'!$A$46:$F$120,3,0),""))&amp;""</f>
        <v/>
      </c>
      <c r="L182" s="216" t="str">
        <f>IFERROR(VLOOKUP($I182,'Institution Evaluation'!$A$55:$F$346,4,0),IFERROR(VLOOKUP($I182,'Privacy Analyst Evaluation'!$A$46:$F$120,4,0),""))&amp;""</f>
        <v/>
      </c>
      <c r="M182" s="216" t="str">
        <f>IFERROR(VLOOKUP($I182,'Institution Evaluation'!$A$55:$F$346,6,0),IFERROR(VLOOKUP($I182,'Privacy Analyst Evaluation'!$A$46:$F$120,6,0),""))&amp;""</f>
        <v/>
      </c>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row>
    <row r="183" spans="1:338" x14ac:dyDescent="0.3">
      <c r="A183" s="216" t="str">
        <f>IFERROR(IF($A182+1&gt;'(backend scoring)'!$T$335,"",$A182+1),"")</f>
        <v/>
      </c>
      <c r="B183" s="216" t="str">
        <f>_xlfn.XLOOKUP($A183,'(backend scoring)'!$V$2:$V$333,'(backend scoring)'!$A$2:$A$333,"")</f>
        <v/>
      </c>
      <c r="C183" s="216" t="str">
        <f>IFERROR(VLOOKUP($B183,'Institution Evaluation'!$A$55:$F$346,2,0),IFERROR(VLOOKUP($B183,'Privacy Analyst Evaluation'!$A$46:$F$120,2,0),""))&amp;""</f>
        <v/>
      </c>
      <c r="D183" s="216" t="str">
        <f>IFERROR(VLOOKUP($B183,'Institution Evaluation'!$A$55:$F$346,3,0),IFERROR(VLOOKUP($B183,'Privacy Analyst Evaluation'!$A$46:$F$120,3,0),""))&amp;""</f>
        <v/>
      </c>
      <c r="E183" s="216" t="str">
        <f>IFERROR(VLOOKUP($B183,'Institution Evaluation'!$A$55:$F$346,4,0),IFERROR(VLOOKUP($B183,'Privacy Analyst Evaluation'!$A$46:$F$120,4,0),""))&amp;""</f>
        <v/>
      </c>
      <c r="F183" s="216" t="str">
        <f>IFERROR(VLOOKUP($B183,'Institution Evaluation'!$A$55:$F$346,6,0),IFERROR(VLOOKUP($B183,'Privacy Analyst Evaluation'!$A$46:$F$120,6,0),""))&amp;""</f>
        <v/>
      </c>
      <c r="G183" s="217"/>
      <c r="H183" s="216" t="str">
        <f>IFERROR(IF($H182+1&gt;'(backend scoring)'!$Q$335,"",$H182+1),"")</f>
        <v/>
      </c>
      <c r="I183" s="216" t="str">
        <f>_xlfn.XLOOKUP($H183,'(backend scoring)'!$S$2:$S$333,'(backend scoring)'!$A$2:$A$333,"")</f>
        <v/>
      </c>
      <c r="J183" s="216" t="str">
        <f>IFERROR(VLOOKUP($I183,'Institution Evaluation'!$A$55:$F$346,2,0),IFERROR(VLOOKUP($I183,'Privacy Analyst Evaluation'!$A$46:$F$120,2,0),""))</f>
        <v/>
      </c>
      <c r="K183" s="216" t="str">
        <f>IFERROR(VLOOKUP($I183,'Institution Evaluation'!$A$55:$F$346,3,0),IFERROR(VLOOKUP($I183,'Privacy Analyst Evaluation'!$A$46:$F$120,3,0),""))&amp;""</f>
        <v/>
      </c>
      <c r="L183" s="216" t="str">
        <f>IFERROR(VLOOKUP($I183,'Institution Evaluation'!$A$55:$F$346,4,0),IFERROR(VLOOKUP($I183,'Privacy Analyst Evaluation'!$A$46:$F$120,4,0),""))&amp;""</f>
        <v/>
      </c>
      <c r="M183" s="216" t="str">
        <f>IFERROR(VLOOKUP($I183,'Institution Evaluation'!$A$55:$F$346,6,0),IFERROR(VLOOKUP($I183,'Privacy Analyst Evaluation'!$A$46:$F$120,6,0),""))&amp;""</f>
        <v/>
      </c>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row>
    <row r="184" spans="1:338" x14ac:dyDescent="0.3">
      <c r="A184" s="216" t="str">
        <f>IFERROR(IF($A183+1&gt;'(backend scoring)'!$T$335,"",$A183+1),"")</f>
        <v/>
      </c>
      <c r="B184" s="216" t="str">
        <f>_xlfn.XLOOKUP($A184,'(backend scoring)'!$V$2:$V$333,'(backend scoring)'!$A$2:$A$333,"")</f>
        <v/>
      </c>
      <c r="C184" s="216" t="str">
        <f>IFERROR(VLOOKUP($B184,'Institution Evaluation'!$A$55:$F$346,2,0),IFERROR(VLOOKUP($B184,'Privacy Analyst Evaluation'!$A$46:$F$120,2,0),""))&amp;""</f>
        <v/>
      </c>
      <c r="D184" s="216" t="str">
        <f>IFERROR(VLOOKUP($B184,'Institution Evaluation'!$A$55:$F$346,3,0),IFERROR(VLOOKUP($B184,'Privacy Analyst Evaluation'!$A$46:$F$120,3,0),""))&amp;""</f>
        <v/>
      </c>
      <c r="E184" s="216" t="str">
        <f>IFERROR(VLOOKUP($B184,'Institution Evaluation'!$A$55:$F$346,4,0),IFERROR(VLOOKUP($B184,'Privacy Analyst Evaluation'!$A$46:$F$120,4,0),""))&amp;""</f>
        <v/>
      </c>
      <c r="F184" s="216" t="str">
        <f>IFERROR(VLOOKUP($B184,'Institution Evaluation'!$A$55:$F$346,6,0),IFERROR(VLOOKUP($B184,'Privacy Analyst Evaluation'!$A$46:$F$120,6,0),""))&amp;""</f>
        <v/>
      </c>
      <c r="G184" s="217"/>
      <c r="H184" s="216" t="str">
        <f>IFERROR(IF($H183+1&gt;'(backend scoring)'!$Q$335,"",$H183+1),"")</f>
        <v/>
      </c>
      <c r="I184" s="216" t="str">
        <f>_xlfn.XLOOKUP($H184,'(backend scoring)'!$S$2:$S$333,'(backend scoring)'!$A$2:$A$333,"")</f>
        <v/>
      </c>
      <c r="J184" s="216" t="str">
        <f>IFERROR(VLOOKUP($I184,'Institution Evaluation'!$A$55:$F$346,2,0),IFERROR(VLOOKUP($I184,'Privacy Analyst Evaluation'!$A$46:$F$120,2,0),""))</f>
        <v/>
      </c>
      <c r="K184" s="216" t="str">
        <f>IFERROR(VLOOKUP($I184,'Institution Evaluation'!$A$55:$F$346,3,0),IFERROR(VLOOKUP($I184,'Privacy Analyst Evaluation'!$A$46:$F$120,3,0),""))&amp;""</f>
        <v/>
      </c>
      <c r="L184" s="216" t="str">
        <f>IFERROR(VLOOKUP($I184,'Institution Evaluation'!$A$55:$F$346,4,0),IFERROR(VLOOKUP($I184,'Privacy Analyst Evaluation'!$A$46:$F$120,4,0),""))&amp;""</f>
        <v/>
      </c>
      <c r="M184" s="216" t="str">
        <f>IFERROR(VLOOKUP($I184,'Institution Evaluation'!$A$55:$F$346,6,0),IFERROR(VLOOKUP($I184,'Privacy Analyst Evaluation'!$A$46:$F$120,6,0),""))&amp;""</f>
        <v/>
      </c>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row>
    <row r="185" spans="1:338" x14ac:dyDescent="0.3">
      <c r="A185" s="216" t="str">
        <f>IFERROR(IF($A184+1&gt;'(backend scoring)'!$T$335,"",$A184+1),"")</f>
        <v/>
      </c>
      <c r="B185" s="216" t="str">
        <f>_xlfn.XLOOKUP($A185,'(backend scoring)'!$V$2:$V$333,'(backend scoring)'!$A$2:$A$333,"")</f>
        <v/>
      </c>
      <c r="C185" s="216" t="str">
        <f>IFERROR(VLOOKUP($B185,'Institution Evaluation'!$A$55:$F$346,2,0),IFERROR(VLOOKUP($B185,'Privacy Analyst Evaluation'!$A$46:$F$120,2,0),""))&amp;""</f>
        <v/>
      </c>
      <c r="D185" s="216" t="str">
        <f>IFERROR(VLOOKUP($B185,'Institution Evaluation'!$A$55:$F$346,3,0),IFERROR(VLOOKUP($B185,'Privacy Analyst Evaluation'!$A$46:$F$120,3,0),""))&amp;""</f>
        <v/>
      </c>
      <c r="E185" s="216" t="str">
        <f>IFERROR(VLOOKUP($B185,'Institution Evaluation'!$A$55:$F$346,4,0),IFERROR(VLOOKUP($B185,'Privacy Analyst Evaluation'!$A$46:$F$120,4,0),""))&amp;""</f>
        <v/>
      </c>
      <c r="F185" s="216" t="str">
        <f>IFERROR(VLOOKUP($B185,'Institution Evaluation'!$A$55:$F$346,6,0),IFERROR(VLOOKUP($B185,'Privacy Analyst Evaluation'!$A$46:$F$120,6,0),""))&amp;""</f>
        <v/>
      </c>
      <c r="G185" s="217"/>
      <c r="H185" s="216" t="str">
        <f>IFERROR(IF($H184+1&gt;'(backend scoring)'!$Q$335,"",$H184+1),"")</f>
        <v/>
      </c>
      <c r="I185" s="216" t="str">
        <f>_xlfn.XLOOKUP($H185,'(backend scoring)'!$S$2:$S$333,'(backend scoring)'!$A$2:$A$333,"")</f>
        <v/>
      </c>
      <c r="J185" s="216" t="str">
        <f>IFERROR(VLOOKUP($I185,'Institution Evaluation'!$A$55:$F$346,2,0),IFERROR(VLOOKUP($I185,'Privacy Analyst Evaluation'!$A$46:$F$120,2,0),""))</f>
        <v/>
      </c>
      <c r="K185" s="216" t="str">
        <f>IFERROR(VLOOKUP($I185,'Institution Evaluation'!$A$55:$F$346,3,0),IFERROR(VLOOKUP($I185,'Privacy Analyst Evaluation'!$A$46:$F$120,3,0),""))&amp;""</f>
        <v/>
      </c>
      <c r="L185" s="216" t="str">
        <f>IFERROR(VLOOKUP($I185,'Institution Evaluation'!$A$55:$F$346,4,0),IFERROR(VLOOKUP($I185,'Privacy Analyst Evaluation'!$A$46:$F$120,4,0),""))&amp;""</f>
        <v/>
      </c>
      <c r="M185" s="216" t="str">
        <f>IFERROR(VLOOKUP($I185,'Institution Evaluation'!$A$55:$F$346,6,0),IFERROR(VLOOKUP($I185,'Privacy Analyst Evaluation'!$A$46:$F$120,6,0),""))&amp;""</f>
        <v/>
      </c>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row>
    <row r="186" spans="1:338" x14ac:dyDescent="0.3">
      <c r="A186" s="216" t="str">
        <f>IFERROR(IF($A185+1&gt;'(backend scoring)'!$T$335,"",$A185+1),"")</f>
        <v/>
      </c>
      <c r="B186" s="216" t="str">
        <f>_xlfn.XLOOKUP($A186,'(backend scoring)'!$V$2:$V$333,'(backend scoring)'!$A$2:$A$333,"")</f>
        <v/>
      </c>
      <c r="C186" s="216" t="str">
        <f>IFERROR(VLOOKUP($B186,'Institution Evaluation'!$A$55:$F$346,2,0),IFERROR(VLOOKUP($B186,'Privacy Analyst Evaluation'!$A$46:$F$120,2,0),""))&amp;""</f>
        <v/>
      </c>
      <c r="D186" s="216" t="str">
        <f>IFERROR(VLOOKUP($B186,'Institution Evaluation'!$A$55:$F$346,3,0),IFERROR(VLOOKUP($B186,'Privacy Analyst Evaluation'!$A$46:$F$120,3,0),""))&amp;""</f>
        <v/>
      </c>
      <c r="E186" s="216" t="str">
        <f>IFERROR(VLOOKUP($B186,'Institution Evaluation'!$A$55:$F$346,4,0),IFERROR(VLOOKUP($B186,'Privacy Analyst Evaluation'!$A$46:$F$120,4,0),""))&amp;""</f>
        <v/>
      </c>
      <c r="F186" s="216" t="str">
        <f>IFERROR(VLOOKUP($B186,'Institution Evaluation'!$A$55:$F$346,6,0),IFERROR(VLOOKUP($B186,'Privacy Analyst Evaluation'!$A$46:$F$120,6,0),""))&amp;""</f>
        <v/>
      </c>
      <c r="G186" s="217"/>
      <c r="H186" s="216" t="str">
        <f>IFERROR(IF($H185+1&gt;'(backend scoring)'!$Q$335,"",$H185+1),"")</f>
        <v/>
      </c>
      <c r="I186" s="216" t="str">
        <f>_xlfn.XLOOKUP($H186,'(backend scoring)'!$S$2:$S$333,'(backend scoring)'!$A$2:$A$333,"")</f>
        <v/>
      </c>
      <c r="J186" s="216" t="str">
        <f>IFERROR(VLOOKUP($I186,'Institution Evaluation'!$A$55:$F$346,2,0),IFERROR(VLOOKUP($I186,'Privacy Analyst Evaluation'!$A$46:$F$120,2,0),""))</f>
        <v/>
      </c>
      <c r="K186" s="216" t="str">
        <f>IFERROR(VLOOKUP($I186,'Institution Evaluation'!$A$55:$F$346,3,0),IFERROR(VLOOKUP($I186,'Privacy Analyst Evaluation'!$A$46:$F$120,3,0),""))&amp;""</f>
        <v/>
      </c>
      <c r="L186" s="216" t="str">
        <f>IFERROR(VLOOKUP($I186,'Institution Evaluation'!$A$55:$F$346,4,0),IFERROR(VLOOKUP($I186,'Privacy Analyst Evaluation'!$A$46:$F$120,4,0),""))&amp;""</f>
        <v/>
      </c>
      <c r="M186" s="216" t="str">
        <f>IFERROR(VLOOKUP($I186,'Institution Evaluation'!$A$55:$F$346,6,0),IFERROR(VLOOKUP($I186,'Privacy Analyst Evaluation'!$A$46:$F$120,6,0),""))&amp;""</f>
        <v/>
      </c>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row>
    <row r="187" spans="1:338" x14ac:dyDescent="0.3">
      <c r="A187" s="216" t="str">
        <f>IFERROR(IF($A186+1&gt;'(backend scoring)'!$T$335,"",$A186+1),"")</f>
        <v/>
      </c>
      <c r="B187" s="216" t="str">
        <f>_xlfn.XLOOKUP($A187,'(backend scoring)'!$V$2:$V$333,'(backend scoring)'!$A$2:$A$333,"")</f>
        <v/>
      </c>
      <c r="C187" s="216" t="str">
        <f>IFERROR(VLOOKUP($B187,'Institution Evaluation'!$A$55:$F$346,2,0),IFERROR(VLOOKUP($B187,'Privacy Analyst Evaluation'!$A$46:$F$120,2,0),""))&amp;""</f>
        <v/>
      </c>
      <c r="D187" s="216" t="str">
        <f>IFERROR(VLOOKUP($B187,'Institution Evaluation'!$A$55:$F$346,3,0),IFERROR(VLOOKUP($B187,'Privacy Analyst Evaluation'!$A$46:$F$120,3,0),""))&amp;""</f>
        <v/>
      </c>
      <c r="E187" s="216" t="str">
        <f>IFERROR(VLOOKUP($B187,'Institution Evaluation'!$A$55:$F$346,4,0),IFERROR(VLOOKUP($B187,'Privacy Analyst Evaluation'!$A$46:$F$120,4,0),""))&amp;""</f>
        <v/>
      </c>
      <c r="F187" s="216" t="str">
        <f>IFERROR(VLOOKUP($B187,'Institution Evaluation'!$A$55:$F$346,6,0),IFERROR(VLOOKUP($B187,'Privacy Analyst Evaluation'!$A$46:$F$120,6,0),""))&amp;""</f>
        <v/>
      </c>
      <c r="G187" s="217"/>
      <c r="H187" s="216" t="str">
        <f>IFERROR(IF($H186+1&gt;'(backend scoring)'!$Q$335,"",$H186+1),"")</f>
        <v/>
      </c>
      <c r="I187" s="216" t="str">
        <f>_xlfn.XLOOKUP($H187,'(backend scoring)'!$S$2:$S$333,'(backend scoring)'!$A$2:$A$333,"")</f>
        <v/>
      </c>
      <c r="J187" s="216" t="str">
        <f>IFERROR(VLOOKUP($I187,'Institution Evaluation'!$A$55:$F$346,2,0),IFERROR(VLOOKUP($I187,'Privacy Analyst Evaluation'!$A$46:$F$120,2,0),""))</f>
        <v/>
      </c>
      <c r="K187" s="216" t="str">
        <f>IFERROR(VLOOKUP($I187,'Institution Evaluation'!$A$55:$F$346,3,0),IFERROR(VLOOKUP($I187,'Privacy Analyst Evaluation'!$A$46:$F$120,3,0),""))&amp;""</f>
        <v/>
      </c>
      <c r="L187" s="216" t="str">
        <f>IFERROR(VLOOKUP($I187,'Institution Evaluation'!$A$55:$F$346,4,0),IFERROR(VLOOKUP($I187,'Privacy Analyst Evaluation'!$A$46:$F$120,4,0),""))&amp;""</f>
        <v/>
      </c>
      <c r="M187" s="216" t="str">
        <f>IFERROR(VLOOKUP($I187,'Institution Evaluation'!$A$55:$F$346,6,0),IFERROR(VLOOKUP($I187,'Privacy Analyst Evaluation'!$A$46:$F$120,6,0),""))&amp;""</f>
        <v/>
      </c>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row>
    <row r="188" spans="1:338" x14ac:dyDescent="0.3">
      <c r="A188" s="216" t="str">
        <f>IFERROR(IF($A187+1&gt;'(backend scoring)'!$T$335,"",$A187+1),"")</f>
        <v/>
      </c>
      <c r="B188" s="216" t="str">
        <f>_xlfn.XLOOKUP($A188,'(backend scoring)'!$V$2:$V$333,'(backend scoring)'!$A$2:$A$333,"")</f>
        <v/>
      </c>
      <c r="C188" s="216" t="str">
        <f>IFERROR(VLOOKUP($B188,'Institution Evaluation'!$A$55:$F$346,2,0),IFERROR(VLOOKUP($B188,'Privacy Analyst Evaluation'!$A$46:$F$120,2,0),""))&amp;""</f>
        <v/>
      </c>
      <c r="D188" s="216" t="str">
        <f>IFERROR(VLOOKUP($B188,'Institution Evaluation'!$A$55:$F$346,3,0),IFERROR(VLOOKUP($B188,'Privacy Analyst Evaluation'!$A$46:$F$120,3,0),""))&amp;""</f>
        <v/>
      </c>
      <c r="E188" s="216" t="str">
        <f>IFERROR(VLOOKUP($B188,'Institution Evaluation'!$A$55:$F$346,4,0),IFERROR(VLOOKUP($B188,'Privacy Analyst Evaluation'!$A$46:$F$120,4,0),""))&amp;""</f>
        <v/>
      </c>
      <c r="F188" s="216" t="str">
        <f>IFERROR(VLOOKUP($B188,'Institution Evaluation'!$A$55:$F$346,6,0),IFERROR(VLOOKUP($B188,'Privacy Analyst Evaluation'!$A$46:$F$120,6,0),""))&amp;""</f>
        <v/>
      </c>
      <c r="G188" s="217"/>
      <c r="H188" s="216" t="str">
        <f>IFERROR(IF($H187+1&gt;'(backend scoring)'!$Q$335,"",$H187+1),"")</f>
        <v/>
      </c>
      <c r="I188" s="216" t="str">
        <f>_xlfn.XLOOKUP($H188,'(backend scoring)'!$S$2:$S$333,'(backend scoring)'!$A$2:$A$333,"")</f>
        <v/>
      </c>
      <c r="J188" s="216" t="str">
        <f>IFERROR(VLOOKUP($I188,'Institution Evaluation'!$A$55:$F$346,2,0),IFERROR(VLOOKUP($I188,'Privacy Analyst Evaluation'!$A$46:$F$120,2,0),""))</f>
        <v/>
      </c>
      <c r="K188" s="216" t="str">
        <f>IFERROR(VLOOKUP($I188,'Institution Evaluation'!$A$55:$F$346,3,0),IFERROR(VLOOKUP($I188,'Privacy Analyst Evaluation'!$A$46:$F$120,3,0),""))&amp;""</f>
        <v/>
      </c>
      <c r="L188" s="216" t="str">
        <f>IFERROR(VLOOKUP($I188,'Institution Evaluation'!$A$55:$F$346,4,0),IFERROR(VLOOKUP($I188,'Privacy Analyst Evaluation'!$A$46:$F$120,4,0),""))&amp;""</f>
        <v/>
      </c>
      <c r="M188" s="216" t="str">
        <f>IFERROR(VLOOKUP($I188,'Institution Evaluation'!$A$55:$F$346,6,0),IFERROR(VLOOKUP($I188,'Privacy Analyst Evaluation'!$A$46:$F$120,6,0),""))&amp;""</f>
        <v/>
      </c>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row>
    <row r="189" spans="1:338" x14ac:dyDescent="0.3">
      <c r="A189" s="216" t="str">
        <f>IFERROR(IF($A188+1&gt;'(backend scoring)'!$T$335,"",$A188+1),"")</f>
        <v/>
      </c>
      <c r="B189" s="216" t="str">
        <f>_xlfn.XLOOKUP($A189,'(backend scoring)'!$V$2:$V$333,'(backend scoring)'!$A$2:$A$333,"")</f>
        <v/>
      </c>
      <c r="C189" s="216" t="str">
        <f>IFERROR(VLOOKUP($B189,'Institution Evaluation'!$A$55:$F$346,2,0),IFERROR(VLOOKUP($B189,'Privacy Analyst Evaluation'!$A$46:$F$120,2,0),""))&amp;""</f>
        <v/>
      </c>
      <c r="D189" s="216" t="str">
        <f>IFERROR(VLOOKUP($B189,'Institution Evaluation'!$A$55:$F$346,3,0),IFERROR(VLOOKUP($B189,'Privacy Analyst Evaluation'!$A$46:$F$120,3,0),""))&amp;""</f>
        <v/>
      </c>
      <c r="E189" s="216" t="str">
        <f>IFERROR(VLOOKUP($B189,'Institution Evaluation'!$A$55:$F$346,4,0),IFERROR(VLOOKUP($B189,'Privacy Analyst Evaluation'!$A$46:$F$120,4,0),""))&amp;""</f>
        <v/>
      </c>
      <c r="F189" s="216" t="str">
        <f>IFERROR(VLOOKUP($B189,'Institution Evaluation'!$A$55:$F$346,6,0),IFERROR(VLOOKUP($B189,'Privacy Analyst Evaluation'!$A$46:$F$120,6,0),""))&amp;""</f>
        <v/>
      </c>
      <c r="G189" s="217"/>
      <c r="H189" s="216" t="str">
        <f>IFERROR(IF($H188+1&gt;'(backend scoring)'!$Q$335,"",$H188+1),"")</f>
        <v/>
      </c>
      <c r="I189" s="216" t="str">
        <f>_xlfn.XLOOKUP($H189,'(backend scoring)'!$S$2:$S$333,'(backend scoring)'!$A$2:$A$333,"")</f>
        <v/>
      </c>
      <c r="J189" s="216" t="str">
        <f>IFERROR(VLOOKUP($I189,'Institution Evaluation'!$A$55:$F$346,2,0),IFERROR(VLOOKUP($I189,'Privacy Analyst Evaluation'!$A$46:$F$120,2,0),""))</f>
        <v/>
      </c>
      <c r="K189" s="216" t="str">
        <f>IFERROR(VLOOKUP($I189,'Institution Evaluation'!$A$55:$F$346,3,0),IFERROR(VLOOKUP($I189,'Privacy Analyst Evaluation'!$A$46:$F$120,3,0),""))&amp;""</f>
        <v/>
      </c>
      <c r="L189" s="216" t="str">
        <f>IFERROR(VLOOKUP($I189,'Institution Evaluation'!$A$55:$F$346,4,0),IFERROR(VLOOKUP($I189,'Privacy Analyst Evaluation'!$A$46:$F$120,4,0),""))&amp;""</f>
        <v/>
      </c>
      <c r="M189" s="216" t="str">
        <f>IFERROR(VLOOKUP($I189,'Institution Evaluation'!$A$55:$F$346,6,0),IFERROR(VLOOKUP($I189,'Privacy Analyst Evaluation'!$A$46:$F$120,6,0),""))&amp;""</f>
        <v/>
      </c>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row>
    <row r="190" spans="1:338" x14ac:dyDescent="0.3">
      <c r="A190" s="216" t="str">
        <f>IFERROR(IF($A189+1&gt;'(backend scoring)'!$T$335,"",$A189+1),"")</f>
        <v/>
      </c>
      <c r="B190" s="216" t="str">
        <f>_xlfn.XLOOKUP($A190,'(backend scoring)'!$V$2:$V$333,'(backend scoring)'!$A$2:$A$333,"")</f>
        <v/>
      </c>
      <c r="C190" s="216" t="str">
        <f>IFERROR(VLOOKUP($B190,'Institution Evaluation'!$A$55:$F$346,2,0),IFERROR(VLOOKUP($B190,'Privacy Analyst Evaluation'!$A$46:$F$120,2,0),""))&amp;""</f>
        <v/>
      </c>
      <c r="D190" s="216" t="str">
        <f>IFERROR(VLOOKUP($B190,'Institution Evaluation'!$A$55:$F$346,3,0),IFERROR(VLOOKUP($B190,'Privacy Analyst Evaluation'!$A$46:$F$120,3,0),""))&amp;""</f>
        <v/>
      </c>
      <c r="E190" s="216" t="str">
        <f>IFERROR(VLOOKUP($B190,'Institution Evaluation'!$A$55:$F$346,4,0),IFERROR(VLOOKUP($B190,'Privacy Analyst Evaluation'!$A$46:$F$120,4,0),""))&amp;""</f>
        <v/>
      </c>
      <c r="F190" s="216" t="str">
        <f>IFERROR(VLOOKUP($B190,'Institution Evaluation'!$A$55:$F$346,6,0),IFERROR(VLOOKUP($B190,'Privacy Analyst Evaluation'!$A$46:$F$120,6,0),""))&amp;""</f>
        <v/>
      </c>
      <c r="G190" s="217"/>
      <c r="H190" s="216" t="str">
        <f>IFERROR(IF($H189+1&gt;'(backend scoring)'!$Q$335,"",$H189+1),"")</f>
        <v/>
      </c>
      <c r="I190" s="216" t="str">
        <f>_xlfn.XLOOKUP($H190,'(backend scoring)'!$S$2:$S$333,'(backend scoring)'!$A$2:$A$333,"")</f>
        <v/>
      </c>
      <c r="J190" s="216" t="str">
        <f>IFERROR(VLOOKUP($I190,'Institution Evaluation'!$A$55:$F$346,2,0),IFERROR(VLOOKUP($I190,'Privacy Analyst Evaluation'!$A$46:$F$120,2,0),""))</f>
        <v/>
      </c>
      <c r="K190" s="216" t="str">
        <f>IFERROR(VLOOKUP($I190,'Institution Evaluation'!$A$55:$F$346,3,0),IFERROR(VLOOKUP($I190,'Privacy Analyst Evaluation'!$A$46:$F$120,3,0),""))&amp;""</f>
        <v/>
      </c>
      <c r="L190" s="216" t="str">
        <f>IFERROR(VLOOKUP($I190,'Institution Evaluation'!$A$55:$F$346,4,0),IFERROR(VLOOKUP($I190,'Privacy Analyst Evaluation'!$A$46:$F$120,4,0),""))&amp;""</f>
        <v/>
      </c>
      <c r="M190" s="216" t="str">
        <f>IFERROR(VLOOKUP($I190,'Institution Evaluation'!$A$55:$F$346,6,0),IFERROR(VLOOKUP($I190,'Privacy Analyst Evaluation'!$A$46:$F$120,6,0),""))&amp;""</f>
        <v/>
      </c>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row>
    <row r="191" spans="1:338" x14ac:dyDescent="0.3">
      <c r="A191" s="216" t="str">
        <f>IFERROR(IF($A190+1&gt;'(backend scoring)'!$T$335,"",$A190+1),"")</f>
        <v/>
      </c>
      <c r="B191" s="216" t="str">
        <f>_xlfn.XLOOKUP($A191,'(backend scoring)'!$V$2:$V$333,'(backend scoring)'!$A$2:$A$333,"")</f>
        <v/>
      </c>
      <c r="C191" s="216" t="str">
        <f>IFERROR(VLOOKUP($B191,'Institution Evaluation'!$A$55:$F$346,2,0),IFERROR(VLOOKUP($B191,'Privacy Analyst Evaluation'!$A$46:$F$120,2,0),""))&amp;""</f>
        <v/>
      </c>
      <c r="D191" s="216" t="str">
        <f>IFERROR(VLOOKUP($B191,'Institution Evaluation'!$A$55:$F$346,3,0),IFERROR(VLOOKUP($B191,'Privacy Analyst Evaluation'!$A$46:$F$120,3,0),""))&amp;""</f>
        <v/>
      </c>
      <c r="E191" s="216" t="str">
        <f>IFERROR(VLOOKUP($B191,'Institution Evaluation'!$A$55:$F$346,4,0),IFERROR(VLOOKUP($B191,'Privacy Analyst Evaluation'!$A$46:$F$120,4,0),""))&amp;""</f>
        <v/>
      </c>
      <c r="F191" s="216" t="str">
        <f>IFERROR(VLOOKUP($B191,'Institution Evaluation'!$A$55:$F$346,6,0),IFERROR(VLOOKUP($B191,'Privacy Analyst Evaluation'!$A$46:$F$120,6,0),""))&amp;""</f>
        <v/>
      </c>
      <c r="G191" s="217"/>
      <c r="H191" s="216" t="str">
        <f>IFERROR(IF($H190+1&gt;'(backend scoring)'!$Q$335,"",$H190+1),"")</f>
        <v/>
      </c>
      <c r="I191" s="216" t="str">
        <f>_xlfn.XLOOKUP($H191,'(backend scoring)'!$S$2:$S$333,'(backend scoring)'!$A$2:$A$333,"")</f>
        <v/>
      </c>
      <c r="J191" s="216" t="str">
        <f>IFERROR(VLOOKUP($I191,'Institution Evaluation'!$A$55:$F$346,2,0),IFERROR(VLOOKUP($I191,'Privacy Analyst Evaluation'!$A$46:$F$120,2,0),""))</f>
        <v/>
      </c>
      <c r="K191" s="216" t="str">
        <f>IFERROR(VLOOKUP($I191,'Institution Evaluation'!$A$55:$F$346,3,0),IFERROR(VLOOKUP($I191,'Privacy Analyst Evaluation'!$A$46:$F$120,3,0),""))&amp;""</f>
        <v/>
      </c>
      <c r="L191" s="216" t="str">
        <f>IFERROR(VLOOKUP($I191,'Institution Evaluation'!$A$55:$F$346,4,0),IFERROR(VLOOKUP($I191,'Privacy Analyst Evaluation'!$A$46:$F$120,4,0),""))&amp;""</f>
        <v/>
      </c>
      <c r="M191" s="216" t="str">
        <f>IFERROR(VLOOKUP($I191,'Institution Evaluation'!$A$55:$F$346,6,0),IFERROR(VLOOKUP($I191,'Privacy Analyst Evaluation'!$A$46:$F$120,6,0),""))&amp;""</f>
        <v/>
      </c>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row>
    <row r="192" spans="1:338" x14ac:dyDescent="0.3">
      <c r="A192" s="216" t="str">
        <f>IFERROR(IF($A191+1&gt;'(backend scoring)'!$T$335,"",$A191+1),"")</f>
        <v/>
      </c>
      <c r="B192" s="216" t="str">
        <f>_xlfn.XLOOKUP($A192,'(backend scoring)'!$V$2:$V$333,'(backend scoring)'!$A$2:$A$333,"")</f>
        <v/>
      </c>
      <c r="C192" s="216" t="str">
        <f>IFERROR(VLOOKUP($B192,'Institution Evaluation'!$A$55:$F$346,2,0),IFERROR(VLOOKUP($B192,'Privacy Analyst Evaluation'!$A$46:$F$120,2,0),""))&amp;""</f>
        <v/>
      </c>
      <c r="D192" s="216" t="str">
        <f>IFERROR(VLOOKUP($B192,'Institution Evaluation'!$A$55:$F$346,3,0),IFERROR(VLOOKUP($B192,'Privacy Analyst Evaluation'!$A$46:$F$120,3,0),""))&amp;""</f>
        <v/>
      </c>
      <c r="E192" s="216" t="str">
        <f>IFERROR(VLOOKUP($B192,'Institution Evaluation'!$A$55:$F$346,4,0),IFERROR(VLOOKUP($B192,'Privacy Analyst Evaluation'!$A$46:$F$120,4,0),""))&amp;""</f>
        <v/>
      </c>
      <c r="F192" s="216" t="str">
        <f>IFERROR(VLOOKUP($B192,'Institution Evaluation'!$A$55:$F$346,6,0),IFERROR(VLOOKUP($B192,'Privacy Analyst Evaluation'!$A$46:$F$120,6,0),""))&amp;""</f>
        <v/>
      </c>
      <c r="G192" s="217"/>
      <c r="H192" s="216" t="str">
        <f>IFERROR(IF($H191+1&gt;'(backend scoring)'!$Q$335,"",$H191+1),"")</f>
        <v/>
      </c>
      <c r="I192" s="216" t="str">
        <f>_xlfn.XLOOKUP($H192,'(backend scoring)'!$S$2:$S$333,'(backend scoring)'!$A$2:$A$333,"")</f>
        <v/>
      </c>
      <c r="J192" s="216" t="str">
        <f>IFERROR(VLOOKUP($I192,'Institution Evaluation'!$A$55:$F$346,2,0),IFERROR(VLOOKUP($I192,'Privacy Analyst Evaluation'!$A$46:$F$120,2,0),""))</f>
        <v/>
      </c>
      <c r="K192" s="216" t="str">
        <f>IFERROR(VLOOKUP($I192,'Institution Evaluation'!$A$55:$F$346,3,0),IFERROR(VLOOKUP($I192,'Privacy Analyst Evaluation'!$A$46:$F$120,3,0),""))&amp;""</f>
        <v/>
      </c>
      <c r="L192" s="216" t="str">
        <f>IFERROR(VLOOKUP($I192,'Institution Evaluation'!$A$55:$F$346,4,0),IFERROR(VLOOKUP($I192,'Privacy Analyst Evaluation'!$A$46:$F$120,4,0),""))&amp;""</f>
        <v/>
      </c>
      <c r="M192" s="216" t="str">
        <f>IFERROR(VLOOKUP($I192,'Institution Evaluation'!$A$55:$F$346,6,0),IFERROR(VLOOKUP($I192,'Privacy Analyst Evaluation'!$A$46:$F$120,6,0),""))&amp;""</f>
        <v/>
      </c>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row>
    <row r="193" spans="1:338" x14ac:dyDescent="0.3">
      <c r="A193" s="216" t="str">
        <f>IFERROR(IF($A192+1&gt;'(backend scoring)'!$T$335,"",$A192+1),"")</f>
        <v/>
      </c>
      <c r="B193" s="216" t="str">
        <f>_xlfn.XLOOKUP($A193,'(backend scoring)'!$V$2:$V$333,'(backend scoring)'!$A$2:$A$333,"")</f>
        <v/>
      </c>
      <c r="C193" s="216" t="str">
        <f>IFERROR(VLOOKUP($B193,'Institution Evaluation'!$A$55:$F$346,2,0),IFERROR(VLOOKUP($B193,'Privacy Analyst Evaluation'!$A$46:$F$120,2,0),""))&amp;""</f>
        <v/>
      </c>
      <c r="D193" s="216" t="str">
        <f>IFERROR(VLOOKUP($B193,'Institution Evaluation'!$A$55:$F$346,3,0),IFERROR(VLOOKUP($B193,'Privacy Analyst Evaluation'!$A$46:$F$120,3,0),""))&amp;""</f>
        <v/>
      </c>
      <c r="E193" s="216" t="str">
        <f>IFERROR(VLOOKUP($B193,'Institution Evaluation'!$A$55:$F$346,4,0),IFERROR(VLOOKUP($B193,'Privacy Analyst Evaluation'!$A$46:$F$120,4,0),""))&amp;""</f>
        <v/>
      </c>
      <c r="F193" s="216" t="str">
        <f>IFERROR(VLOOKUP($B193,'Institution Evaluation'!$A$55:$F$346,6,0),IFERROR(VLOOKUP($B193,'Privacy Analyst Evaluation'!$A$46:$F$120,6,0),""))&amp;""</f>
        <v/>
      </c>
      <c r="G193" s="217"/>
      <c r="H193" s="216" t="str">
        <f>IFERROR(IF($H192+1&gt;'(backend scoring)'!$Q$335,"",$H192+1),"")</f>
        <v/>
      </c>
      <c r="I193" s="216" t="str">
        <f>_xlfn.XLOOKUP($H193,'(backend scoring)'!$S$2:$S$333,'(backend scoring)'!$A$2:$A$333,"")</f>
        <v/>
      </c>
      <c r="J193" s="216" t="str">
        <f>IFERROR(VLOOKUP($I193,'Institution Evaluation'!$A$55:$F$346,2,0),IFERROR(VLOOKUP($I193,'Privacy Analyst Evaluation'!$A$46:$F$120,2,0),""))</f>
        <v/>
      </c>
      <c r="K193" s="216" t="str">
        <f>IFERROR(VLOOKUP($I193,'Institution Evaluation'!$A$55:$F$346,3,0),IFERROR(VLOOKUP($I193,'Privacy Analyst Evaluation'!$A$46:$F$120,3,0),""))&amp;""</f>
        <v/>
      </c>
      <c r="L193" s="216" t="str">
        <f>IFERROR(VLOOKUP($I193,'Institution Evaluation'!$A$55:$F$346,4,0),IFERROR(VLOOKUP($I193,'Privacy Analyst Evaluation'!$A$46:$F$120,4,0),""))&amp;""</f>
        <v/>
      </c>
      <c r="M193" s="216" t="str">
        <f>IFERROR(VLOOKUP($I193,'Institution Evaluation'!$A$55:$F$346,6,0),IFERROR(VLOOKUP($I193,'Privacy Analyst Evaluation'!$A$46:$F$120,6,0),""))&amp;""</f>
        <v/>
      </c>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row>
    <row r="194" spans="1:338" x14ac:dyDescent="0.3">
      <c r="A194" s="216" t="str">
        <f>IFERROR(IF($A193+1&gt;'(backend scoring)'!$T$335,"",$A193+1),"")</f>
        <v/>
      </c>
      <c r="B194" s="216" t="str">
        <f>_xlfn.XLOOKUP($A194,'(backend scoring)'!$V$2:$V$333,'(backend scoring)'!$A$2:$A$333,"")</f>
        <v/>
      </c>
      <c r="C194" s="216" t="str">
        <f>IFERROR(VLOOKUP($B194,'Institution Evaluation'!$A$55:$F$346,2,0),IFERROR(VLOOKUP($B194,'Privacy Analyst Evaluation'!$A$46:$F$120,2,0),""))&amp;""</f>
        <v/>
      </c>
      <c r="D194" s="216" t="str">
        <f>IFERROR(VLOOKUP($B194,'Institution Evaluation'!$A$55:$F$346,3,0),IFERROR(VLOOKUP($B194,'Privacy Analyst Evaluation'!$A$46:$F$120,3,0),""))&amp;""</f>
        <v/>
      </c>
      <c r="E194" s="216" t="str">
        <f>IFERROR(VLOOKUP($B194,'Institution Evaluation'!$A$55:$F$346,4,0),IFERROR(VLOOKUP($B194,'Privacy Analyst Evaluation'!$A$46:$F$120,4,0),""))&amp;""</f>
        <v/>
      </c>
      <c r="F194" s="216" t="str">
        <f>IFERROR(VLOOKUP($B194,'Institution Evaluation'!$A$55:$F$346,6,0),IFERROR(VLOOKUP($B194,'Privacy Analyst Evaluation'!$A$46:$F$120,6,0),""))&amp;""</f>
        <v/>
      </c>
      <c r="G194" s="217"/>
      <c r="H194" s="216" t="str">
        <f>IFERROR(IF($H193+1&gt;'(backend scoring)'!$Q$335,"",$H193+1),"")</f>
        <v/>
      </c>
      <c r="I194" s="216" t="str">
        <f>_xlfn.XLOOKUP($H194,'(backend scoring)'!$S$2:$S$333,'(backend scoring)'!$A$2:$A$333,"")</f>
        <v/>
      </c>
      <c r="J194" s="216" t="str">
        <f>IFERROR(VLOOKUP($I194,'Institution Evaluation'!$A$55:$F$346,2,0),IFERROR(VLOOKUP($I194,'Privacy Analyst Evaluation'!$A$46:$F$120,2,0),""))</f>
        <v/>
      </c>
      <c r="K194" s="216" t="str">
        <f>IFERROR(VLOOKUP($I194,'Institution Evaluation'!$A$55:$F$346,3,0),IFERROR(VLOOKUP($I194,'Privacy Analyst Evaluation'!$A$46:$F$120,3,0),""))&amp;""</f>
        <v/>
      </c>
      <c r="L194" s="216" t="str">
        <f>IFERROR(VLOOKUP($I194,'Institution Evaluation'!$A$55:$F$346,4,0),IFERROR(VLOOKUP($I194,'Privacy Analyst Evaluation'!$A$46:$F$120,4,0),""))&amp;""</f>
        <v/>
      </c>
      <c r="M194" s="216" t="str">
        <f>IFERROR(VLOOKUP($I194,'Institution Evaluation'!$A$55:$F$346,6,0),IFERROR(VLOOKUP($I194,'Privacy Analyst Evaluation'!$A$46:$F$120,6,0),""))&amp;""</f>
        <v/>
      </c>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row>
    <row r="195" spans="1:338" x14ac:dyDescent="0.3">
      <c r="A195" s="216" t="str">
        <f>IFERROR(IF($A194+1&gt;'(backend scoring)'!$T$335,"",$A194+1),"")</f>
        <v/>
      </c>
      <c r="B195" s="216" t="str">
        <f>_xlfn.XLOOKUP($A195,'(backend scoring)'!$V$2:$V$333,'(backend scoring)'!$A$2:$A$333,"")</f>
        <v/>
      </c>
      <c r="C195" s="216" t="str">
        <f>IFERROR(VLOOKUP($B195,'Institution Evaluation'!$A$55:$F$346,2,0),IFERROR(VLOOKUP($B195,'Privacy Analyst Evaluation'!$A$46:$F$120,2,0),""))&amp;""</f>
        <v/>
      </c>
      <c r="D195" s="216" t="str">
        <f>IFERROR(VLOOKUP($B195,'Institution Evaluation'!$A$55:$F$346,3,0),IFERROR(VLOOKUP($B195,'Privacy Analyst Evaluation'!$A$46:$F$120,3,0),""))&amp;""</f>
        <v/>
      </c>
      <c r="E195" s="216" t="str">
        <f>IFERROR(VLOOKUP($B195,'Institution Evaluation'!$A$55:$F$346,4,0),IFERROR(VLOOKUP($B195,'Privacy Analyst Evaluation'!$A$46:$F$120,4,0),""))&amp;""</f>
        <v/>
      </c>
      <c r="F195" s="216" t="str">
        <f>IFERROR(VLOOKUP($B195,'Institution Evaluation'!$A$55:$F$346,6,0),IFERROR(VLOOKUP($B195,'Privacy Analyst Evaluation'!$A$46:$F$120,6,0),""))&amp;""</f>
        <v/>
      </c>
      <c r="G195" s="217"/>
      <c r="H195" s="216" t="str">
        <f>IFERROR(IF($H194+1&gt;'(backend scoring)'!$Q$335,"",$H194+1),"")</f>
        <v/>
      </c>
      <c r="I195" s="216" t="str">
        <f>_xlfn.XLOOKUP($H195,'(backend scoring)'!$S$2:$S$333,'(backend scoring)'!$A$2:$A$333,"")</f>
        <v/>
      </c>
      <c r="J195" s="216" t="str">
        <f>IFERROR(VLOOKUP($I195,'Institution Evaluation'!$A$55:$F$346,2,0),IFERROR(VLOOKUP($I195,'Privacy Analyst Evaluation'!$A$46:$F$120,2,0),""))</f>
        <v/>
      </c>
      <c r="K195" s="216" t="str">
        <f>IFERROR(VLOOKUP($I195,'Institution Evaluation'!$A$55:$F$346,3,0),IFERROR(VLOOKUP($I195,'Privacy Analyst Evaluation'!$A$46:$F$120,3,0),""))&amp;""</f>
        <v/>
      </c>
      <c r="L195" s="216" t="str">
        <f>IFERROR(VLOOKUP($I195,'Institution Evaluation'!$A$55:$F$346,4,0),IFERROR(VLOOKUP($I195,'Privacy Analyst Evaluation'!$A$46:$F$120,4,0),""))&amp;""</f>
        <v/>
      </c>
      <c r="M195" s="216" t="str">
        <f>IFERROR(VLOOKUP($I195,'Institution Evaluation'!$A$55:$F$346,6,0),IFERROR(VLOOKUP($I195,'Privacy Analyst Evaluation'!$A$46:$F$120,6,0),""))&amp;""</f>
        <v/>
      </c>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row>
    <row r="196" spans="1:338" x14ac:dyDescent="0.3">
      <c r="A196" s="216" t="str">
        <f>IFERROR(IF($A195+1&gt;'(backend scoring)'!$T$335,"",$A195+1),"")</f>
        <v/>
      </c>
      <c r="B196" s="216" t="str">
        <f>_xlfn.XLOOKUP($A196,'(backend scoring)'!$V$2:$V$333,'(backend scoring)'!$A$2:$A$333,"")</f>
        <v/>
      </c>
      <c r="C196" s="216" t="str">
        <f>IFERROR(VLOOKUP($B196,'Institution Evaluation'!$A$55:$F$346,2,0),IFERROR(VLOOKUP($B196,'Privacy Analyst Evaluation'!$A$46:$F$120,2,0),""))&amp;""</f>
        <v/>
      </c>
      <c r="D196" s="216" t="str">
        <f>IFERROR(VLOOKUP($B196,'Institution Evaluation'!$A$55:$F$346,3,0),IFERROR(VLOOKUP($B196,'Privacy Analyst Evaluation'!$A$46:$F$120,3,0),""))&amp;""</f>
        <v/>
      </c>
      <c r="E196" s="216" t="str">
        <f>IFERROR(VLOOKUP($B196,'Institution Evaluation'!$A$55:$F$346,4,0),IFERROR(VLOOKUP($B196,'Privacy Analyst Evaluation'!$A$46:$F$120,4,0),""))&amp;""</f>
        <v/>
      </c>
      <c r="F196" s="216" t="str">
        <f>IFERROR(VLOOKUP($B196,'Institution Evaluation'!$A$55:$F$346,6,0),IFERROR(VLOOKUP($B196,'Privacy Analyst Evaluation'!$A$46:$F$120,6,0),""))&amp;""</f>
        <v/>
      </c>
      <c r="G196" s="217"/>
      <c r="H196" s="216" t="str">
        <f>IFERROR(IF($H195+1&gt;'(backend scoring)'!$Q$335,"",$H195+1),"")</f>
        <v/>
      </c>
      <c r="I196" s="216" t="str">
        <f>_xlfn.XLOOKUP($H196,'(backend scoring)'!$S$2:$S$333,'(backend scoring)'!$A$2:$A$333,"")</f>
        <v/>
      </c>
      <c r="J196" s="216" t="str">
        <f>IFERROR(VLOOKUP($I196,'Institution Evaluation'!$A$55:$F$346,2,0),IFERROR(VLOOKUP($I196,'Privacy Analyst Evaluation'!$A$46:$F$120,2,0),""))</f>
        <v/>
      </c>
      <c r="K196" s="216" t="str">
        <f>IFERROR(VLOOKUP($I196,'Institution Evaluation'!$A$55:$F$346,3,0),IFERROR(VLOOKUP($I196,'Privacy Analyst Evaluation'!$A$46:$F$120,3,0),""))&amp;""</f>
        <v/>
      </c>
      <c r="L196" s="216" t="str">
        <f>IFERROR(VLOOKUP($I196,'Institution Evaluation'!$A$55:$F$346,4,0),IFERROR(VLOOKUP($I196,'Privacy Analyst Evaluation'!$A$46:$F$120,4,0),""))&amp;""</f>
        <v/>
      </c>
      <c r="M196" s="216" t="str">
        <f>IFERROR(VLOOKUP($I196,'Institution Evaluation'!$A$55:$F$346,6,0),IFERROR(VLOOKUP($I196,'Privacy Analyst Evaluation'!$A$46:$F$120,6,0),""))&amp;""</f>
        <v/>
      </c>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row>
    <row r="197" spans="1:338" x14ac:dyDescent="0.3">
      <c r="A197" s="216" t="str">
        <f>IFERROR(IF($A196+1&gt;'(backend scoring)'!$T$335,"",$A196+1),"")</f>
        <v/>
      </c>
      <c r="B197" s="216" t="str">
        <f>_xlfn.XLOOKUP($A197,'(backend scoring)'!$V$2:$V$333,'(backend scoring)'!$A$2:$A$333,"")</f>
        <v/>
      </c>
      <c r="C197" s="216" t="str">
        <f>IFERROR(VLOOKUP($B197,'Institution Evaluation'!$A$55:$F$346,2,0),IFERROR(VLOOKUP($B197,'Privacy Analyst Evaluation'!$A$46:$F$120,2,0),""))&amp;""</f>
        <v/>
      </c>
      <c r="D197" s="216" t="str">
        <f>IFERROR(VLOOKUP($B197,'Institution Evaluation'!$A$55:$F$346,3,0),IFERROR(VLOOKUP($B197,'Privacy Analyst Evaluation'!$A$46:$F$120,3,0),""))&amp;""</f>
        <v/>
      </c>
      <c r="E197" s="216" t="str">
        <f>IFERROR(VLOOKUP($B197,'Institution Evaluation'!$A$55:$F$346,4,0),IFERROR(VLOOKUP($B197,'Privacy Analyst Evaluation'!$A$46:$F$120,4,0),""))&amp;""</f>
        <v/>
      </c>
      <c r="F197" s="216" t="str">
        <f>IFERROR(VLOOKUP($B197,'Institution Evaluation'!$A$55:$F$346,6,0),IFERROR(VLOOKUP($B197,'Privacy Analyst Evaluation'!$A$46:$F$120,6,0),""))&amp;""</f>
        <v/>
      </c>
      <c r="G197" s="217"/>
      <c r="H197" s="216" t="str">
        <f>IFERROR(IF($H196+1&gt;'(backend scoring)'!$Q$335,"",$H196+1),"")</f>
        <v/>
      </c>
      <c r="I197" s="216" t="str">
        <f>_xlfn.XLOOKUP($H197,'(backend scoring)'!$S$2:$S$333,'(backend scoring)'!$A$2:$A$333,"")</f>
        <v/>
      </c>
      <c r="J197" s="216" t="str">
        <f>IFERROR(VLOOKUP($I197,'Institution Evaluation'!$A$55:$F$346,2,0),IFERROR(VLOOKUP($I197,'Privacy Analyst Evaluation'!$A$46:$F$120,2,0),""))</f>
        <v/>
      </c>
      <c r="K197" s="216" t="str">
        <f>IFERROR(VLOOKUP($I197,'Institution Evaluation'!$A$55:$F$346,3,0),IFERROR(VLOOKUP($I197,'Privacy Analyst Evaluation'!$A$46:$F$120,3,0),""))&amp;""</f>
        <v/>
      </c>
      <c r="L197" s="216" t="str">
        <f>IFERROR(VLOOKUP($I197,'Institution Evaluation'!$A$55:$F$346,4,0),IFERROR(VLOOKUP($I197,'Privacy Analyst Evaluation'!$A$46:$F$120,4,0),""))&amp;""</f>
        <v/>
      </c>
      <c r="M197" s="216" t="str">
        <f>IFERROR(VLOOKUP($I197,'Institution Evaluation'!$A$55:$F$346,6,0),IFERROR(VLOOKUP($I197,'Privacy Analyst Evaluation'!$A$46:$F$120,6,0),""))&amp;""</f>
        <v/>
      </c>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row>
    <row r="198" spans="1:338" x14ac:dyDescent="0.3">
      <c r="A198" s="216" t="str">
        <f>IFERROR(IF($A197+1&gt;'(backend scoring)'!$T$335,"",$A197+1),"")</f>
        <v/>
      </c>
      <c r="B198" s="216" t="str">
        <f>_xlfn.XLOOKUP($A198,'(backend scoring)'!$V$2:$V$333,'(backend scoring)'!$A$2:$A$333,"")</f>
        <v/>
      </c>
      <c r="C198" s="216" t="str">
        <f>IFERROR(VLOOKUP($B198,'Institution Evaluation'!$A$55:$F$346,2,0),IFERROR(VLOOKUP($B198,'Privacy Analyst Evaluation'!$A$46:$F$120,2,0),""))&amp;""</f>
        <v/>
      </c>
      <c r="D198" s="216" t="str">
        <f>IFERROR(VLOOKUP($B198,'Institution Evaluation'!$A$55:$F$346,3,0),IFERROR(VLOOKUP($B198,'Privacy Analyst Evaluation'!$A$46:$F$120,3,0),""))&amp;""</f>
        <v/>
      </c>
      <c r="E198" s="216" t="str">
        <f>IFERROR(VLOOKUP($B198,'Institution Evaluation'!$A$55:$F$346,4,0),IFERROR(VLOOKUP($B198,'Privacy Analyst Evaluation'!$A$46:$F$120,4,0),""))&amp;""</f>
        <v/>
      </c>
      <c r="F198" s="216" t="str">
        <f>IFERROR(VLOOKUP($B198,'Institution Evaluation'!$A$55:$F$346,6,0),IFERROR(VLOOKUP($B198,'Privacy Analyst Evaluation'!$A$46:$F$120,6,0),""))&amp;""</f>
        <v/>
      </c>
      <c r="G198" s="217"/>
      <c r="H198" s="216" t="str">
        <f>IFERROR(IF($H197+1&gt;'(backend scoring)'!$Q$335,"",$H197+1),"")</f>
        <v/>
      </c>
      <c r="I198" s="216" t="str">
        <f>_xlfn.XLOOKUP($H198,'(backend scoring)'!$S$2:$S$333,'(backend scoring)'!$A$2:$A$333,"")</f>
        <v/>
      </c>
      <c r="J198" s="216" t="str">
        <f>IFERROR(VLOOKUP($I198,'Institution Evaluation'!$A$55:$F$346,2,0),IFERROR(VLOOKUP($I198,'Privacy Analyst Evaluation'!$A$46:$F$120,2,0),""))</f>
        <v/>
      </c>
      <c r="K198" s="216" t="str">
        <f>IFERROR(VLOOKUP($I198,'Institution Evaluation'!$A$55:$F$346,3,0),IFERROR(VLOOKUP($I198,'Privacy Analyst Evaluation'!$A$46:$F$120,3,0),""))&amp;""</f>
        <v/>
      </c>
      <c r="L198" s="216" t="str">
        <f>IFERROR(VLOOKUP($I198,'Institution Evaluation'!$A$55:$F$346,4,0),IFERROR(VLOOKUP($I198,'Privacy Analyst Evaluation'!$A$46:$F$120,4,0),""))&amp;""</f>
        <v/>
      </c>
      <c r="M198" s="216" t="str">
        <f>IFERROR(VLOOKUP($I198,'Institution Evaluation'!$A$55:$F$346,6,0),IFERROR(VLOOKUP($I198,'Privacy Analyst Evaluation'!$A$46:$F$120,6,0),""))&amp;""</f>
        <v/>
      </c>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row>
    <row r="199" spans="1:338" x14ac:dyDescent="0.3">
      <c r="A199" s="216" t="str">
        <f>IFERROR(IF($A198+1&gt;'(backend scoring)'!$T$335,"",$A198+1),"")</f>
        <v/>
      </c>
      <c r="B199" s="216" t="str">
        <f>_xlfn.XLOOKUP($A199,'(backend scoring)'!$V$2:$V$333,'(backend scoring)'!$A$2:$A$333,"")</f>
        <v/>
      </c>
      <c r="C199" s="216" t="str">
        <f>IFERROR(VLOOKUP($B199,'Institution Evaluation'!$A$55:$F$346,2,0),IFERROR(VLOOKUP($B199,'Privacy Analyst Evaluation'!$A$46:$F$120,2,0),""))&amp;""</f>
        <v/>
      </c>
      <c r="D199" s="216" t="str">
        <f>IFERROR(VLOOKUP($B199,'Institution Evaluation'!$A$55:$F$346,3,0),IFERROR(VLOOKUP($B199,'Privacy Analyst Evaluation'!$A$46:$F$120,3,0),""))&amp;""</f>
        <v/>
      </c>
      <c r="E199" s="216" t="str">
        <f>IFERROR(VLOOKUP($B199,'Institution Evaluation'!$A$55:$F$346,4,0),IFERROR(VLOOKUP($B199,'Privacy Analyst Evaluation'!$A$46:$F$120,4,0),""))&amp;""</f>
        <v/>
      </c>
      <c r="F199" s="216" t="str">
        <f>IFERROR(VLOOKUP($B199,'Institution Evaluation'!$A$55:$F$346,6,0),IFERROR(VLOOKUP($B199,'Privacy Analyst Evaluation'!$A$46:$F$120,6,0),""))&amp;""</f>
        <v/>
      </c>
      <c r="G199" s="217"/>
      <c r="H199" s="216" t="str">
        <f>IFERROR(IF($H198+1&gt;'(backend scoring)'!$Q$335,"",$H198+1),"")</f>
        <v/>
      </c>
      <c r="I199" s="216" t="str">
        <f>_xlfn.XLOOKUP($H199,'(backend scoring)'!$S$2:$S$333,'(backend scoring)'!$A$2:$A$333,"")</f>
        <v/>
      </c>
      <c r="J199" s="216" t="str">
        <f>IFERROR(VLOOKUP($I199,'Institution Evaluation'!$A$55:$F$346,2,0),IFERROR(VLOOKUP($I199,'Privacy Analyst Evaluation'!$A$46:$F$120,2,0),""))</f>
        <v/>
      </c>
      <c r="K199" s="216" t="str">
        <f>IFERROR(VLOOKUP($I199,'Institution Evaluation'!$A$55:$F$346,3,0),IFERROR(VLOOKUP($I199,'Privacy Analyst Evaluation'!$A$46:$F$120,3,0),""))&amp;""</f>
        <v/>
      </c>
      <c r="L199" s="216" t="str">
        <f>IFERROR(VLOOKUP($I199,'Institution Evaluation'!$A$55:$F$346,4,0),IFERROR(VLOOKUP($I199,'Privacy Analyst Evaluation'!$A$46:$F$120,4,0),""))&amp;""</f>
        <v/>
      </c>
      <c r="M199" s="216" t="str">
        <f>IFERROR(VLOOKUP($I199,'Institution Evaluation'!$A$55:$F$346,6,0),IFERROR(VLOOKUP($I199,'Privacy Analyst Evaluation'!$A$46:$F$120,6,0),""))&amp;""</f>
        <v/>
      </c>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row>
    <row r="200" spans="1:338" x14ac:dyDescent="0.3">
      <c r="A200" s="216" t="str">
        <f>IFERROR(IF($A199+1&gt;'(backend scoring)'!$T$335,"",$A199+1),"")</f>
        <v/>
      </c>
      <c r="B200" s="216" t="str">
        <f>_xlfn.XLOOKUP($A200,'(backend scoring)'!$V$2:$V$333,'(backend scoring)'!$A$2:$A$333,"")</f>
        <v/>
      </c>
      <c r="C200" s="216" t="str">
        <f>IFERROR(VLOOKUP($B200,'Institution Evaluation'!$A$55:$F$346,2,0),IFERROR(VLOOKUP($B200,'Privacy Analyst Evaluation'!$A$46:$F$120,2,0),""))&amp;""</f>
        <v/>
      </c>
      <c r="D200" s="216" t="str">
        <f>IFERROR(VLOOKUP($B200,'Institution Evaluation'!$A$55:$F$346,3,0),IFERROR(VLOOKUP($B200,'Privacy Analyst Evaluation'!$A$46:$F$120,3,0),""))&amp;""</f>
        <v/>
      </c>
      <c r="E200" s="216" t="str">
        <f>IFERROR(VLOOKUP($B200,'Institution Evaluation'!$A$55:$F$346,4,0),IFERROR(VLOOKUP($B200,'Privacy Analyst Evaluation'!$A$46:$F$120,4,0),""))&amp;""</f>
        <v/>
      </c>
      <c r="F200" s="216" t="str">
        <f>IFERROR(VLOOKUP($B200,'Institution Evaluation'!$A$55:$F$346,6,0),IFERROR(VLOOKUP($B200,'Privacy Analyst Evaluation'!$A$46:$F$120,6,0),""))&amp;""</f>
        <v/>
      </c>
      <c r="G200" s="217"/>
      <c r="H200" s="216" t="str">
        <f>IFERROR(IF($H199+1&gt;'(backend scoring)'!$Q$335,"",$H199+1),"")</f>
        <v/>
      </c>
      <c r="I200" s="216" t="str">
        <f>_xlfn.XLOOKUP($H200,'(backend scoring)'!$S$2:$S$333,'(backend scoring)'!$A$2:$A$333,"")</f>
        <v/>
      </c>
      <c r="J200" s="216" t="str">
        <f>IFERROR(VLOOKUP($I200,'Institution Evaluation'!$A$55:$F$346,2,0),IFERROR(VLOOKUP($I200,'Privacy Analyst Evaluation'!$A$46:$F$120,2,0),""))</f>
        <v/>
      </c>
      <c r="K200" s="216" t="str">
        <f>IFERROR(VLOOKUP($I200,'Institution Evaluation'!$A$55:$F$346,3,0),IFERROR(VLOOKUP($I200,'Privacy Analyst Evaluation'!$A$46:$F$120,3,0),""))&amp;""</f>
        <v/>
      </c>
      <c r="L200" s="216" t="str">
        <f>IFERROR(VLOOKUP($I200,'Institution Evaluation'!$A$55:$F$346,4,0),IFERROR(VLOOKUP($I200,'Privacy Analyst Evaluation'!$A$46:$F$120,4,0),""))&amp;""</f>
        <v/>
      </c>
      <c r="M200" s="216" t="str">
        <f>IFERROR(VLOOKUP($I200,'Institution Evaluation'!$A$55:$F$346,6,0),IFERROR(VLOOKUP($I200,'Privacy Analyst Evaluation'!$A$46:$F$120,6,0),""))&amp;""</f>
        <v/>
      </c>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row>
    <row r="201" spans="1:338" x14ac:dyDescent="0.3">
      <c r="A201" s="216" t="str">
        <f>IFERROR(IF($A200+1&gt;'(backend scoring)'!$T$335,"",$A200+1),"")</f>
        <v/>
      </c>
      <c r="B201" s="216" t="str">
        <f>_xlfn.XLOOKUP($A201,'(backend scoring)'!$V$2:$V$333,'(backend scoring)'!$A$2:$A$333,"")</f>
        <v/>
      </c>
      <c r="C201" s="216" t="str">
        <f>IFERROR(VLOOKUP($B201,'Institution Evaluation'!$A$55:$F$346,2,0),IFERROR(VLOOKUP($B201,'Privacy Analyst Evaluation'!$A$46:$F$120,2,0),""))&amp;""</f>
        <v/>
      </c>
      <c r="D201" s="216" t="str">
        <f>IFERROR(VLOOKUP($B201,'Institution Evaluation'!$A$55:$F$346,3,0),IFERROR(VLOOKUP($B201,'Privacy Analyst Evaluation'!$A$46:$F$120,3,0),""))&amp;""</f>
        <v/>
      </c>
      <c r="E201" s="216" t="str">
        <f>IFERROR(VLOOKUP($B201,'Institution Evaluation'!$A$55:$F$346,4,0),IFERROR(VLOOKUP($B201,'Privacy Analyst Evaluation'!$A$46:$F$120,4,0),""))&amp;""</f>
        <v/>
      </c>
      <c r="F201" s="216" t="str">
        <f>IFERROR(VLOOKUP($B201,'Institution Evaluation'!$A$55:$F$346,6,0),IFERROR(VLOOKUP($B201,'Privacy Analyst Evaluation'!$A$46:$F$120,6,0),""))&amp;""</f>
        <v/>
      </c>
      <c r="G201" s="217"/>
      <c r="H201" s="216" t="str">
        <f>IFERROR(IF($H200+1&gt;'(backend scoring)'!$Q$335,"",$H200+1),"")</f>
        <v/>
      </c>
      <c r="I201" s="216" t="str">
        <f>_xlfn.XLOOKUP($H201,'(backend scoring)'!$S$2:$S$333,'(backend scoring)'!$A$2:$A$333,"")</f>
        <v/>
      </c>
      <c r="J201" s="216" t="str">
        <f>IFERROR(VLOOKUP($I201,'Institution Evaluation'!$A$55:$F$346,2,0),IFERROR(VLOOKUP($I201,'Privacy Analyst Evaluation'!$A$46:$F$120,2,0),""))</f>
        <v/>
      </c>
      <c r="K201" s="216" t="str">
        <f>IFERROR(VLOOKUP($I201,'Institution Evaluation'!$A$55:$F$346,3,0),IFERROR(VLOOKUP($I201,'Privacy Analyst Evaluation'!$A$46:$F$120,3,0),""))&amp;""</f>
        <v/>
      </c>
      <c r="L201" s="216" t="str">
        <f>IFERROR(VLOOKUP($I201,'Institution Evaluation'!$A$55:$F$346,4,0),IFERROR(VLOOKUP($I201,'Privacy Analyst Evaluation'!$A$46:$F$120,4,0),""))&amp;""</f>
        <v/>
      </c>
      <c r="M201" s="216" t="str">
        <f>IFERROR(VLOOKUP($I201,'Institution Evaluation'!$A$55:$F$346,6,0),IFERROR(VLOOKUP($I201,'Privacy Analyst Evaluation'!$A$46:$F$120,6,0),""))&amp;""</f>
        <v/>
      </c>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row>
    <row r="202" spans="1:338" x14ac:dyDescent="0.3">
      <c r="A202" s="216" t="str">
        <f>IFERROR(IF($A201+1&gt;'(backend scoring)'!$T$335,"",$A201+1),"")</f>
        <v/>
      </c>
      <c r="B202" s="216" t="str">
        <f>_xlfn.XLOOKUP($A202,'(backend scoring)'!$V$2:$V$333,'(backend scoring)'!$A$2:$A$333,"")</f>
        <v/>
      </c>
      <c r="C202" s="216" t="str">
        <f>IFERROR(VLOOKUP($B202,'Institution Evaluation'!$A$55:$F$346,2,0),IFERROR(VLOOKUP($B202,'Privacy Analyst Evaluation'!$A$46:$F$120,2,0),""))&amp;""</f>
        <v/>
      </c>
      <c r="D202" s="216" t="str">
        <f>IFERROR(VLOOKUP($B202,'Institution Evaluation'!$A$55:$F$346,3,0),IFERROR(VLOOKUP($B202,'Privacy Analyst Evaluation'!$A$46:$F$120,3,0),""))&amp;""</f>
        <v/>
      </c>
      <c r="E202" s="216" t="str">
        <f>IFERROR(VLOOKUP($B202,'Institution Evaluation'!$A$55:$F$346,4,0),IFERROR(VLOOKUP($B202,'Privacy Analyst Evaluation'!$A$46:$F$120,4,0),""))&amp;""</f>
        <v/>
      </c>
      <c r="F202" s="216" t="str">
        <f>IFERROR(VLOOKUP($B202,'Institution Evaluation'!$A$55:$F$346,6,0),IFERROR(VLOOKUP($B202,'Privacy Analyst Evaluation'!$A$46:$F$120,6,0),""))&amp;""</f>
        <v/>
      </c>
      <c r="G202" s="217"/>
      <c r="H202" s="216" t="str">
        <f>IFERROR(IF($H201+1&gt;'(backend scoring)'!$Q$335,"",$H201+1),"")</f>
        <v/>
      </c>
      <c r="I202" s="216" t="str">
        <f>_xlfn.XLOOKUP($H202,'(backend scoring)'!$S$2:$S$333,'(backend scoring)'!$A$2:$A$333,"")</f>
        <v/>
      </c>
      <c r="J202" s="216" t="str">
        <f>IFERROR(VLOOKUP($I202,'Institution Evaluation'!$A$55:$F$346,2,0),IFERROR(VLOOKUP($I202,'Privacy Analyst Evaluation'!$A$46:$F$120,2,0),""))</f>
        <v/>
      </c>
      <c r="K202" s="216" t="str">
        <f>IFERROR(VLOOKUP($I202,'Institution Evaluation'!$A$55:$F$346,3,0),IFERROR(VLOOKUP($I202,'Privacy Analyst Evaluation'!$A$46:$F$120,3,0),""))&amp;""</f>
        <v/>
      </c>
      <c r="L202" s="216" t="str">
        <f>IFERROR(VLOOKUP($I202,'Institution Evaluation'!$A$55:$F$346,4,0),IFERROR(VLOOKUP($I202,'Privacy Analyst Evaluation'!$A$46:$F$120,4,0),""))&amp;""</f>
        <v/>
      </c>
      <c r="M202" s="216" t="str">
        <f>IFERROR(VLOOKUP($I202,'Institution Evaluation'!$A$55:$F$346,6,0),IFERROR(VLOOKUP($I202,'Privacy Analyst Evaluation'!$A$46:$F$120,6,0),""))&amp;""</f>
        <v/>
      </c>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row>
    <row r="203" spans="1:338" x14ac:dyDescent="0.3">
      <c r="A203" s="216" t="str">
        <f>IFERROR(IF($A202+1&gt;'(backend scoring)'!$T$335,"",$A202+1),"")</f>
        <v/>
      </c>
      <c r="B203" s="216" t="str">
        <f>_xlfn.XLOOKUP($A203,'(backend scoring)'!$V$2:$V$333,'(backend scoring)'!$A$2:$A$333,"")</f>
        <v/>
      </c>
      <c r="C203" s="216" t="str">
        <f>IFERROR(VLOOKUP($B203,'Institution Evaluation'!$A$55:$F$346,2,0),IFERROR(VLOOKUP($B203,'Privacy Analyst Evaluation'!$A$46:$F$120,2,0),""))&amp;""</f>
        <v/>
      </c>
      <c r="D203" s="216" t="str">
        <f>IFERROR(VLOOKUP($B203,'Institution Evaluation'!$A$55:$F$346,3,0),IFERROR(VLOOKUP($B203,'Privacy Analyst Evaluation'!$A$46:$F$120,3,0),""))&amp;""</f>
        <v/>
      </c>
      <c r="E203" s="216" t="str">
        <f>IFERROR(VLOOKUP($B203,'Institution Evaluation'!$A$55:$F$346,4,0),IFERROR(VLOOKUP($B203,'Privacy Analyst Evaluation'!$A$46:$F$120,4,0),""))&amp;""</f>
        <v/>
      </c>
      <c r="F203" s="216" t="str">
        <f>IFERROR(VLOOKUP($B203,'Institution Evaluation'!$A$55:$F$346,6,0),IFERROR(VLOOKUP($B203,'Privacy Analyst Evaluation'!$A$46:$F$120,6,0),""))&amp;""</f>
        <v/>
      </c>
      <c r="G203" s="217"/>
      <c r="H203" s="216" t="str">
        <f>IFERROR(IF($H202+1&gt;'(backend scoring)'!$Q$335,"",$H202+1),"")</f>
        <v/>
      </c>
      <c r="I203" s="216" t="str">
        <f>_xlfn.XLOOKUP($H203,'(backend scoring)'!$S$2:$S$333,'(backend scoring)'!$A$2:$A$333,"")</f>
        <v/>
      </c>
      <c r="J203" s="216" t="str">
        <f>IFERROR(VLOOKUP($I203,'Institution Evaluation'!$A$55:$F$346,2,0),IFERROR(VLOOKUP($I203,'Privacy Analyst Evaluation'!$A$46:$F$120,2,0),""))</f>
        <v/>
      </c>
      <c r="K203" s="216" t="str">
        <f>IFERROR(VLOOKUP($I203,'Institution Evaluation'!$A$55:$F$346,3,0),IFERROR(VLOOKUP($I203,'Privacy Analyst Evaluation'!$A$46:$F$120,3,0),""))&amp;""</f>
        <v/>
      </c>
      <c r="L203" s="216" t="str">
        <f>IFERROR(VLOOKUP($I203,'Institution Evaluation'!$A$55:$F$346,4,0),IFERROR(VLOOKUP($I203,'Privacy Analyst Evaluation'!$A$46:$F$120,4,0),""))&amp;""</f>
        <v/>
      </c>
      <c r="M203" s="216" t="str">
        <f>IFERROR(VLOOKUP($I203,'Institution Evaluation'!$A$55:$F$346,6,0),IFERROR(VLOOKUP($I203,'Privacy Analyst Evaluation'!$A$46:$F$120,6,0),""))&amp;""</f>
        <v/>
      </c>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row>
    <row r="204" spans="1:338" x14ac:dyDescent="0.3">
      <c r="A204" s="216" t="str">
        <f>IFERROR(IF($A203+1&gt;'(backend scoring)'!$T$335,"",$A203+1),"")</f>
        <v/>
      </c>
      <c r="B204" s="216" t="str">
        <f>_xlfn.XLOOKUP($A204,'(backend scoring)'!$V$2:$V$333,'(backend scoring)'!$A$2:$A$333,"")</f>
        <v/>
      </c>
      <c r="C204" s="216" t="str">
        <f>IFERROR(VLOOKUP($B204,'Institution Evaluation'!$A$55:$F$346,2,0),IFERROR(VLOOKUP($B204,'Privacy Analyst Evaluation'!$A$46:$F$120,2,0),""))&amp;""</f>
        <v/>
      </c>
      <c r="D204" s="216" t="str">
        <f>IFERROR(VLOOKUP($B204,'Institution Evaluation'!$A$55:$F$346,3,0),IFERROR(VLOOKUP($B204,'Privacy Analyst Evaluation'!$A$46:$F$120,3,0),""))&amp;""</f>
        <v/>
      </c>
      <c r="E204" s="216" t="str">
        <f>IFERROR(VLOOKUP($B204,'Institution Evaluation'!$A$55:$F$346,4,0),IFERROR(VLOOKUP($B204,'Privacy Analyst Evaluation'!$A$46:$F$120,4,0),""))&amp;""</f>
        <v/>
      </c>
      <c r="F204" s="216" t="str">
        <f>IFERROR(VLOOKUP($B204,'Institution Evaluation'!$A$55:$F$346,6,0),IFERROR(VLOOKUP($B204,'Privacy Analyst Evaluation'!$A$46:$F$120,6,0),""))&amp;""</f>
        <v/>
      </c>
      <c r="G204" s="217"/>
      <c r="H204" s="216" t="str">
        <f>IFERROR(IF($H203+1&gt;'(backend scoring)'!$Q$335,"",$H203+1),"")</f>
        <v/>
      </c>
      <c r="I204" s="216" t="str">
        <f>_xlfn.XLOOKUP($H204,'(backend scoring)'!$S$2:$S$333,'(backend scoring)'!$A$2:$A$333,"")</f>
        <v/>
      </c>
      <c r="J204" s="216" t="str">
        <f>IFERROR(VLOOKUP($I204,'Institution Evaluation'!$A$55:$F$346,2,0),IFERROR(VLOOKUP($I204,'Privacy Analyst Evaluation'!$A$46:$F$120,2,0),""))</f>
        <v/>
      </c>
      <c r="K204" s="216" t="str">
        <f>IFERROR(VLOOKUP($I204,'Institution Evaluation'!$A$55:$F$346,3,0),IFERROR(VLOOKUP($I204,'Privacy Analyst Evaluation'!$A$46:$F$120,3,0),""))&amp;""</f>
        <v/>
      </c>
      <c r="L204" s="216" t="str">
        <f>IFERROR(VLOOKUP($I204,'Institution Evaluation'!$A$55:$F$346,4,0),IFERROR(VLOOKUP($I204,'Privacy Analyst Evaluation'!$A$46:$F$120,4,0),""))&amp;""</f>
        <v/>
      </c>
      <c r="M204" s="216" t="str">
        <f>IFERROR(VLOOKUP($I204,'Institution Evaluation'!$A$55:$F$346,6,0),IFERROR(VLOOKUP($I204,'Privacy Analyst Evaluation'!$A$46:$F$120,6,0),""))&amp;""</f>
        <v/>
      </c>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row>
    <row r="205" spans="1:338" x14ac:dyDescent="0.3">
      <c r="A205" s="216" t="str">
        <f>IFERROR(IF($A204+1&gt;'(backend scoring)'!$T$335,"",$A204+1),"")</f>
        <v/>
      </c>
      <c r="B205" s="216" t="str">
        <f>_xlfn.XLOOKUP($A205,'(backend scoring)'!$V$2:$V$333,'(backend scoring)'!$A$2:$A$333,"")</f>
        <v/>
      </c>
      <c r="C205" s="216" t="str">
        <f>IFERROR(VLOOKUP($B205,'Institution Evaluation'!$A$55:$F$346,2,0),IFERROR(VLOOKUP($B205,'Privacy Analyst Evaluation'!$A$46:$F$120,2,0),""))&amp;""</f>
        <v/>
      </c>
      <c r="D205" s="216" t="str">
        <f>IFERROR(VLOOKUP($B205,'Institution Evaluation'!$A$55:$F$346,3,0),IFERROR(VLOOKUP($B205,'Privacy Analyst Evaluation'!$A$46:$F$120,3,0),""))&amp;""</f>
        <v/>
      </c>
      <c r="E205" s="216" t="str">
        <f>IFERROR(VLOOKUP($B205,'Institution Evaluation'!$A$55:$F$346,4,0),IFERROR(VLOOKUP($B205,'Privacy Analyst Evaluation'!$A$46:$F$120,4,0),""))&amp;""</f>
        <v/>
      </c>
      <c r="F205" s="216" t="str">
        <f>IFERROR(VLOOKUP($B205,'Institution Evaluation'!$A$55:$F$346,6,0),IFERROR(VLOOKUP($B205,'Privacy Analyst Evaluation'!$A$46:$F$120,6,0),""))&amp;""</f>
        <v/>
      </c>
      <c r="G205" s="217"/>
      <c r="H205" s="216" t="str">
        <f>IFERROR(IF($H204+1&gt;'(backend scoring)'!$Q$335,"",$H204+1),"")</f>
        <v/>
      </c>
      <c r="I205" s="216" t="str">
        <f>_xlfn.XLOOKUP($H205,'(backend scoring)'!$S$2:$S$333,'(backend scoring)'!$A$2:$A$333,"")</f>
        <v/>
      </c>
      <c r="J205" s="216" t="str">
        <f>IFERROR(VLOOKUP($I205,'Institution Evaluation'!$A$55:$F$346,2,0),IFERROR(VLOOKUP($I205,'Privacy Analyst Evaluation'!$A$46:$F$120,2,0),""))</f>
        <v/>
      </c>
      <c r="K205" s="216" t="str">
        <f>IFERROR(VLOOKUP($I205,'Institution Evaluation'!$A$55:$F$346,3,0),IFERROR(VLOOKUP($I205,'Privacy Analyst Evaluation'!$A$46:$F$120,3,0),""))&amp;""</f>
        <v/>
      </c>
      <c r="L205" s="216" t="str">
        <f>IFERROR(VLOOKUP($I205,'Institution Evaluation'!$A$55:$F$346,4,0),IFERROR(VLOOKUP($I205,'Privacy Analyst Evaluation'!$A$46:$F$120,4,0),""))&amp;""</f>
        <v/>
      </c>
      <c r="M205" s="216" t="str">
        <f>IFERROR(VLOOKUP($I205,'Institution Evaluation'!$A$55:$F$346,6,0),IFERROR(VLOOKUP($I205,'Privacy Analyst Evaluation'!$A$46:$F$120,6,0),""))&amp;""</f>
        <v/>
      </c>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row>
    <row r="206" spans="1:338" x14ac:dyDescent="0.3">
      <c r="A206" s="216" t="str">
        <f>IFERROR(IF($A205+1&gt;'(backend scoring)'!$T$335,"",$A205+1),"")</f>
        <v/>
      </c>
      <c r="B206" s="216" t="str">
        <f>_xlfn.XLOOKUP($A206,'(backend scoring)'!$V$2:$V$333,'(backend scoring)'!$A$2:$A$333,"")</f>
        <v/>
      </c>
      <c r="C206" s="216" t="str">
        <f>IFERROR(VLOOKUP($B206,'Institution Evaluation'!$A$55:$F$346,2,0),IFERROR(VLOOKUP($B206,'Privacy Analyst Evaluation'!$A$46:$F$120,2,0),""))&amp;""</f>
        <v/>
      </c>
      <c r="D206" s="216" t="str">
        <f>IFERROR(VLOOKUP($B206,'Institution Evaluation'!$A$55:$F$346,3,0),IFERROR(VLOOKUP($B206,'Privacy Analyst Evaluation'!$A$46:$F$120,3,0),""))&amp;""</f>
        <v/>
      </c>
      <c r="E206" s="216" t="str">
        <f>IFERROR(VLOOKUP($B206,'Institution Evaluation'!$A$55:$F$346,4,0),IFERROR(VLOOKUP($B206,'Privacy Analyst Evaluation'!$A$46:$F$120,4,0),""))&amp;""</f>
        <v/>
      </c>
      <c r="F206" s="216" t="str">
        <f>IFERROR(VLOOKUP($B206,'Institution Evaluation'!$A$55:$F$346,6,0),IFERROR(VLOOKUP($B206,'Privacy Analyst Evaluation'!$A$46:$F$120,6,0),""))&amp;""</f>
        <v/>
      </c>
      <c r="G206" s="217"/>
      <c r="H206" s="216" t="str">
        <f>IFERROR(IF($H205+1&gt;'(backend scoring)'!$Q$335,"",$H205+1),"")</f>
        <v/>
      </c>
      <c r="I206" s="216" t="str">
        <f>_xlfn.XLOOKUP($H206,'(backend scoring)'!$S$2:$S$333,'(backend scoring)'!$A$2:$A$333,"")</f>
        <v/>
      </c>
      <c r="J206" s="216" t="str">
        <f>IFERROR(VLOOKUP($I206,'Institution Evaluation'!$A$55:$F$346,2,0),IFERROR(VLOOKUP($I206,'Privacy Analyst Evaluation'!$A$46:$F$120,2,0),""))</f>
        <v/>
      </c>
      <c r="K206" s="216" t="str">
        <f>IFERROR(VLOOKUP($I206,'Institution Evaluation'!$A$55:$F$346,3,0),IFERROR(VLOOKUP($I206,'Privacy Analyst Evaluation'!$A$46:$F$120,3,0),""))&amp;""</f>
        <v/>
      </c>
      <c r="L206" s="216" t="str">
        <f>IFERROR(VLOOKUP($I206,'Institution Evaluation'!$A$55:$F$346,4,0),IFERROR(VLOOKUP($I206,'Privacy Analyst Evaluation'!$A$46:$F$120,4,0),""))&amp;""</f>
        <v/>
      </c>
      <c r="M206" s="216" t="str">
        <f>IFERROR(VLOOKUP($I206,'Institution Evaluation'!$A$55:$F$346,6,0),IFERROR(VLOOKUP($I206,'Privacy Analyst Evaluation'!$A$46:$F$120,6,0),""))&amp;""</f>
        <v/>
      </c>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row>
    <row r="207" spans="1:338" x14ac:dyDescent="0.3">
      <c r="A207" s="216" t="str">
        <f>IFERROR(IF($A206+1&gt;'(backend scoring)'!$T$335,"",$A206+1),"")</f>
        <v/>
      </c>
      <c r="B207" s="216" t="str">
        <f>_xlfn.XLOOKUP($A207,'(backend scoring)'!$V$2:$V$333,'(backend scoring)'!$A$2:$A$333,"")</f>
        <v/>
      </c>
      <c r="C207" s="216" t="str">
        <f>IFERROR(VLOOKUP($B207,'Institution Evaluation'!$A$55:$F$346,2,0),IFERROR(VLOOKUP($B207,'Privacy Analyst Evaluation'!$A$46:$F$120,2,0),""))&amp;""</f>
        <v/>
      </c>
      <c r="D207" s="216" t="str">
        <f>IFERROR(VLOOKUP($B207,'Institution Evaluation'!$A$55:$F$346,3,0),IFERROR(VLOOKUP($B207,'Privacy Analyst Evaluation'!$A$46:$F$120,3,0),""))&amp;""</f>
        <v/>
      </c>
      <c r="E207" s="216" t="str">
        <f>IFERROR(VLOOKUP($B207,'Institution Evaluation'!$A$55:$F$346,4,0),IFERROR(VLOOKUP($B207,'Privacy Analyst Evaluation'!$A$46:$F$120,4,0),""))&amp;""</f>
        <v/>
      </c>
      <c r="F207" s="216" t="str">
        <f>IFERROR(VLOOKUP($B207,'Institution Evaluation'!$A$55:$F$346,6,0),IFERROR(VLOOKUP($B207,'Privacy Analyst Evaluation'!$A$46:$F$120,6,0),""))&amp;""</f>
        <v/>
      </c>
      <c r="G207" s="217"/>
      <c r="H207" s="216" t="str">
        <f>IFERROR(IF($H206+1&gt;'(backend scoring)'!$Q$335,"",$H206+1),"")</f>
        <v/>
      </c>
      <c r="I207" s="216" t="str">
        <f>_xlfn.XLOOKUP($H207,'(backend scoring)'!$S$2:$S$333,'(backend scoring)'!$A$2:$A$333,"")</f>
        <v/>
      </c>
      <c r="J207" s="216" t="str">
        <f>IFERROR(VLOOKUP($I207,'Institution Evaluation'!$A$55:$F$346,2,0),IFERROR(VLOOKUP($I207,'Privacy Analyst Evaluation'!$A$46:$F$120,2,0),""))</f>
        <v/>
      </c>
      <c r="K207" s="216" t="str">
        <f>IFERROR(VLOOKUP($I207,'Institution Evaluation'!$A$55:$F$346,3,0),IFERROR(VLOOKUP($I207,'Privacy Analyst Evaluation'!$A$46:$F$120,3,0),""))&amp;""</f>
        <v/>
      </c>
      <c r="L207" s="216" t="str">
        <f>IFERROR(VLOOKUP($I207,'Institution Evaluation'!$A$55:$F$346,4,0),IFERROR(VLOOKUP($I207,'Privacy Analyst Evaluation'!$A$46:$F$120,4,0),""))&amp;""</f>
        <v/>
      </c>
      <c r="M207" s="216" t="str">
        <f>IFERROR(VLOOKUP($I207,'Institution Evaluation'!$A$55:$F$346,6,0),IFERROR(VLOOKUP($I207,'Privacy Analyst Evaluation'!$A$46:$F$120,6,0),""))&amp;""</f>
        <v/>
      </c>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row>
    <row r="208" spans="1:338" x14ac:dyDescent="0.3">
      <c r="A208" s="216" t="str">
        <f>IFERROR(IF($A207+1&gt;'(backend scoring)'!$T$335,"",$A207+1),"")</f>
        <v/>
      </c>
      <c r="B208" s="216" t="str">
        <f>_xlfn.XLOOKUP($A208,'(backend scoring)'!$V$2:$V$333,'(backend scoring)'!$A$2:$A$333,"")</f>
        <v/>
      </c>
      <c r="C208" s="216" t="str">
        <f>IFERROR(VLOOKUP($B208,'Institution Evaluation'!$A$55:$F$346,2,0),IFERROR(VLOOKUP($B208,'Privacy Analyst Evaluation'!$A$46:$F$120,2,0),""))&amp;""</f>
        <v/>
      </c>
      <c r="D208" s="216" t="str">
        <f>IFERROR(VLOOKUP($B208,'Institution Evaluation'!$A$55:$F$346,3,0),IFERROR(VLOOKUP($B208,'Privacy Analyst Evaluation'!$A$46:$F$120,3,0),""))&amp;""</f>
        <v/>
      </c>
      <c r="E208" s="216" t="str">
        <f>IFERROR(VLOOKUP($B208,'Institution Evaluation'!$A$55:$F$346,4,0),IFERROR(VLOOKUP($B208,'Privacy Analyst Evaluation'!$A$46:$F$120,4,0),""))&amp;""</f>
        <v/>
      </c>
      <c r="F208" s="216" t="str">
        <f>IFERROR(VLOOKUP($B208,'Institution Evaluation'!$A$55:$F$346,6,0),IFERROR(VLOOKUP($B208,'Privacy Analyst Evaluation'!$A$46:$F$120,6,0),""))&amp;""</f>
        <v/>
      </c>
      <c r="G208" s="217"/>
      <c r="H208" s="216" t="str">
        <f>IFERROR(IF($H207+1&gt;'(backend scoring)'!$Q$335,"",$H207+1),"")</f>
        <v/>
      </c>
      <c r="I208" s="216" t="str">
        <f>_xlfn.XLOOKUP($H208,'(backend scoring)'!$S$2:$S$333,'(backend scoring)'!$A$2:$A$333,"")</f>
        <v/>
      </c>
      <c r="J208" s="216" t="str">
        <f>IFERROR(VLOOKUP($I208,'Institution Evaluation'!$A$55:$F$346,2,0),IFERROR(VLOOKUP($I208,'Privacy Analyst Evaluation'!$A$46:$F$120,2,0),""))</f>
        <v/>
      </c>
      <c r="K208" s="216" t="str">
        <f>IFERROR(VLOOKUP($I208,'Institution Evaluation'!$A$55:$F$346,3,0),IFERROR(VLOOKUP($I208,'Privacy Analyst Evaluation'!$A$46:$F$120,3,0),""))&amp;""</f>
        <v/>
      </c>
      <c r="L208" s="216" t="str">
        <f>IFERROR(VLOOKUP($I208,'Institution Evaluation'!$A$55:$F$346,4,0),IFERROR(VLOOKUP($I208,'Privacy Analyst Evaluation'!$A$46:$F$120,4,0),""))&amp;""</f>
        <v/>
      </c>
      <c r="M208" s="216" t="str">
        <f>IFERROR(VLOOKUP($I208,'Institution Evaluation'!$A$55:$F$346,6,0),IFERROR(VLOOKUP($I208,'Privacy Analyst Evaluation'!$A$46:$F$120,6,0),""))&amp;""</f>
        <v/>
      </c>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row>
    <row r="209" spans="1:338" x14ac:dyDescent="0.3">
      <c r="A209" s="216" t="str">
        <f>IFERROR(IF($A208+1&gt;'(backend scoring)'!$T$335,"",$A208+1),"")</f>
        <v/>
      </c>
      <c r="B209" s="216" t="str">
        <f>_xlfn.XLOOKUP($A209,'(backend scoring)'!$V$2:$V$333,'(backend scoring)'!$A$2:$A$333,"")</f>
        <v/>
      </c>
      <c r="C209" s="216" t="str">
        <f>IFERROR(VLOOKUP($B209,'Institution Evaluation'!$A$55:$F$346,2,0),IFERROR(VLOOKUP($B209,'Privacy Analyst Evaluation'!$A$46:$F$120,2,0),""))&amp;""</f>
        <v/>
      </c>
      <c r="D209" s="216" t="str">
        <f>IFERROR(VLOOKUP($B209,'Institution Evaluation'!$A$55:$F$346,3,0),IFERROR(VLOOKUP($B209,'Privacy Analyst Evaluation'!$A$46:$F$120,3,0),""))&amp;""</f>
        <v/>
      </c>
      <c r="E209" s="216" t="str">
        <f>IFERROR(VLOOKUP($B209,'Institution Evaluation'!$A$55:$F$346,4,0),IFERROR(VLOOKUP($B209,'Privacy Analyst Evaluation'!$A$46:$F$120,4,0),""))&amp;""</f>
        <v/>
      </c>
      <c r="F209" s="216" t="str">
        <f>IFERROR(VLOOKUP($B209,'Institution Evaluation'!$A$55:$F$346,6,0),IFERROR(VLOOKUP($B209,'Privacy Analyst Evaluation'!$A$46:$F$120,6,0),""))&amp;""</f>
        <v/>
      </c>
      <c r="G209" s="217"/>
      <c r="H209" s="216" t="str">
        <f>IFERROR(IF($H208+1&gt;'(backend scoring)'!$Q$335,"",$H208+1),"")</f>
        <v/>
      </c>
      <c r="I209" s="216" t="str">
        <f>_xlfn.XLOOKUP($H209,'(backend scoring)'!$S$2:$S$333,'(backend scoring)'!$A$2:$A$333,"")</f>
        <v/>
      </c>
      <c r="J209" s="216" t="str">
        <f>IFERROR(VLOOKUP($I209,'Institution Evaluation'!$A$55:$F$346,2,0),IFERROR(VLOOKUP($I209,'Privacy Analyst Evaluation'!$A$46:$F$120,2,0),""))</f>
        <v/>
      </c>
      <c r="K209" s="216" t="str">
        <f>IFERROR(VLOOKUP($I209,'Institution Evaluation'!$A$55:$F$346,3,0),IFERROR(VLOOKUP($I209,'Privacy Analyst Evaluation'!$A$46:$F$120,3,0),""))&amp;""</f>
        <v/>
      </c>
      <c r="L209" s="216" t="str">
        <f>IFERROR(VLOOKUP($I209,'Institution Evaluation'!$A$55:$F$346,4,0),IFERROR(VLOOKUP($I209,'Privacy Analyst Evaluation'!$A$46:$F$120,4,0),""))&amp;""</f>
        <v/>
      </c>
      <c r="M209" s="216" t="str">
        <f>IFERROR(VLOOKUP($I209,'Institution Evaluation'!$A$55:$F$346,6,0),IFERROR(VLOOKUP($I209,'Privacy Analyst Evaluation'!$A$46:$F$120,6,0),""))&amp;""</f>
        <v/>
      </c>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row>
    <row r="210" spans="1:338" x14ac:dyDescent="0.3">
      <c r="A210" s="216" t="str">
        <f>IFERROR(IF($A209+1&gt;'(backend scoring)'!$T$335,"",$A209+1),"")</f>
        <v/>
      </c>
      <c r="B210" s="216" t="str">
        <f>_xlfn.XLOOKUP($A210,'(backend scoring)'!$V$2:$V$333,'(backend scoring)'!$A$2:$A$333,"")</f>
        <v/>
      </c>
      <c r="C210" s="216" t="str">
        <f>IFERROR(VLOOKUP($B210,'Institution Evaluation'!$A$55:$F$346,2,0),IFERROR(VLOOKUP($B210,'Privacy Analyst Evaluation'!$A$46:$F$120,2,0),""))&amp;""</f>
        <v/>
      </c>
      <c r="D210" s="216" t="str">
        <f>IFERROR(VLOOKUP($B210,'Institution Evaluation'!$A$55:$F$346,3,0),IFERROR(VLOOKUP($B210,'Privacy Analyst Evaluation'!$A$46:$F$120,3,0),""))&amp;""</f>
        <v/>
      </c>
      <c r="E210" s="216" t="str">
        <f>IFERROR(VLOOKUP($B210,'Institution Evaluation'!$A$55:$F$346,4,0),IFERROR(VLOOKUP($B210,'Privacy Analyst Evaluation'!$A$46:$F$120,4,0),""))&amp;""</f>
        <v/>
      </c>
      <c r="F210" s="216" t="str">
        <f>IFERROR(VLOOKUP($B210,'Institution Evaluation'!$A$55:$F$346,6,0),IFERROR(VLOOKUP($B210,'Privacy Analyst Evaluation'!$A$46:$F$120,6,0),""))&amp;""</f>
        <v/>
      </c>
      <c r="G210" s="217"/>
      <c r="H210" s="216" t="str">
        <f>IFERROR(IF($H209+1&gt;'(backend scoring)'!$Q$335,"",$H209+1),"")</f>
        <v/>
      </c>
      <c r="I210" s="216" t="str">
        <f>_xlfn.XLOOKUP($H210,'(backend scoring)'!$S$2:$S$333,'(backend scoring)'!$A$2:$A$333,"")</f>
        <v/>
      </c>
      <c r="J210" s="216" t="str">
        <f>IFERROR(VLOOKUP($I210,'Institution Evaluation'!$A$55:$F$346,2,0),IFERROR(VLOOKUP($I210,'Privacy Analyst Evaluation'!$A$46:$F$120,2,0),""))</f>
        <v/>
      </c>
      <c r="K210" s="216" t="str">
        <f>IFERROR(VLOOKUP($I210,'Institution Evaluation'!$A$55:$F$346,3,0),IFERROR(VLOOKUP($I210,'Privacy Analyst Evaluation'!$A$46:$F$120,3,0),""))&amp;""</f>
        <v/>
      </c>
      <c r="L210" s="216" t="str">
        <f>IFERROR(VLOOKUP($I210,'Institution Evaluation'!$A$55:$F$346,4,0),IFERROR(VLOOKUP($I210,'Privacy Analyst Evaluation'!$A$46:$F$120,4,0),""))&amp;""</f>
        <v/>
      </c>
      <c r="M210" s="216" t="str">
        <f>IFERROR(VLOOKUP($I210,'Institution Evaluation'!$A$55:$F$346,6,0),IFERROR(VLOOKUP($I210,'Privacy Analyst Evaluation'!$A$46:$F$120,6,0),""))&amp;""</f>
        <v/>
      </c>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row>
    <row r="211" spans="1:338" x14ac:dyDescent="0.3">
      <c r="A211" s="216" t="str">
        <f>IFERROR(IF($A210+1&gt;'(backend scoring)'!$T$335,"",$A210+1),"")</f>
        <v/>
      </c>
      <c r="B211" s="216" t="str">
        <f>_xlfn.XLOOKUP($A211,'(backend scoring)'!$V$2:$V$333,'(backend scoring)'!$A$2:$A$333,"")</f>
        <v/>
      </c>
      <c r="C211" s="216" t="str">
        <f>IFERROR(VLOOKUP($B211,'Institution Evaluation'!$A$55:$F$346,2,0),IFERROR(VLOOKUP($B211,'Privacy Analyst Evaluation'!$A$46:$F$120,2,0),""))&amp;""</f>
        <v/>
      </c>
      <c r="D211" s="216" t="str">
        <f>IFERROR(VLOOKUP($B211,'Institution Evaluation'!$A$55:$F$346,3,0),IFERROR(VLOOKUP($B211,'Privacy Analyst Evaluation'!$A$46:$F$120,3,0),""))&amp;""</f>
        <v/>
      </c>
      <c r="E211" s="216" t="str">
        <f>IFERROR(VLOOKUP($B211,'Institution Evaluation'!$A$55:$F$346,4,0),IFERROR(VLOOKUP($B211,'Privacy Analyst Evaluation'!$A$46:$F$120,4,0),""))&amp;""</f>
        <v/>
      </c>
      <c r="F211" s="216" t="str">
        <f>IFERROR(VLOOKUP($B211,'Institution Evaluation'!$A$55:$F$346,6,0),IFERROR(VLOOKUP($B211,'Privacy Analyst Evaluation'!$A$46:$F$120,6,0),""))&amp;""</f>
        <v/>
      </c>
      <c r="G211" s="217"/>
      <c r="H211" s="216" t="str">
        <f>IFERROR(IF($H210+1&gt;'(backend scoring)'!$Q$335,"",$H210+1),"")</f>
        <v/>
      </c>
      <c r="I211" s="216" t="str">
        <f>_xlfn.XLOOKUP($H211,'(backend scoring)'!$S$2:$S$333,'(backend scoring)'!$A$2:$A$333,"")</f>
        <v/>
      </c>
      <c r="J211" s="216" t="str">
        <f>IFERROR(VLOOKUP($I211,'Institution Evaluation'!$A$55:$F$346,2,0),IFERROR(VLOOKUP($I211,'Privacy Analyst Evaluation'!$A$46:$F$120,2,0),""))</f>
        <v/>
      </c>
      <c r="K211" s="216" t="str">
        <f>IFERROR(VLOOKUP($I211,'Institution Evaluation'!$A$55:$F$346,3,0),IFERROR(VLOOKUP($I211,'Privacy Analyst Evaluation'!$A$46:$F$120,3,0),""))&amp;""</f>
        <v/>
      </c>
      <c r="L211" s="216" t="str">
        <f>IFERROR(VLOOKUP($I211,'Institution Evaluation'!$A$55:$F$346,4,0),IFERROR(VLOOKUP($I211,'Privacy Analyst Evaluation'!$A$46:$F$120,4,0),""))&amp;""</f>
        <v/>
      </c>
      <c r="M211" s="216" t="str">
        <f>IFERROR(VLOOKUP($I211,'Institution Evaluation'!$A$55:$F$346,6,0),IFERROR(VLOOKUP($I211,'Privacy Analyst Evaluation'!$A$46:$F$120,6,0),""))&amp;""</f>
        <v/>
      </c>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row>
    <row r="212" spans="1:338" x14ac:dyDescent="0.3">
      <c r="A212" s="216" t="str">
        <f>IFERROR(IF($A211+1&gt;'(backend scoring)'!$T$335,"",$A211+1),"")</f>
        <v/>
      </c>
      <c r="B212" s="216" t="str">
        <f>_xlfn.XLOOKUP($A212,'(backend scoring)'!$V$2:$V$333,'(backend scoring)'!$A$2:$A$333,"")</f>
        <v/>
      </c>
      <c r="C212" s="216" t="str">
        <f>IFERROR(VLOOKUP($B212,'Institution Evaluation'!$A$55:$F$346,2,0),IFERROR(VLOOKUP($B212,'Privacy Analyst Evaluation'!$A$46:$F$120,2,0),""))&amp;""</f>
        <v/>
      </c>
      <c r="D212" s="216" t="str">
        <f>IFERROR(VLOOKUP($B212,'Institution Evaluation'!$A$55:$F$346,3,0),IFERROR(VLOOKUP($B212,'Privacy Analyst Evaluation'!$A$46:$F$120,3,0),""))&amp;""</f>
        <v/>
      </c>
      <c r="E212" s="216" t="str">
        <f>IFERROR(VLOOKUP($B212,'Institution Evaluation'!$A$55:$F$346,4,0),IFERROR(VLOOKUP($B212,'Privacy Analyst Evaluation'!$A$46:$F$120,4,0),""))&amp;""</f>
        <v/>
      </c>
      <c r="F212" s="216" t="str">
        <f>IFERROR(VLOOKUP($B212,'Institution Evaluation'!$A$55:$F$346,6,0),IFERROR(VLOOKUP($B212,'Privacy Analyst Evaluation'!$A$46:$F$120,6,0),""))&amp;""</f>
        <v/>
      </c>
      <c r="G212" s="217"/>
      <c r="H212" s="216" t="str">
        <f>IFERROR(IF($H211+1&gt;'(backend scoring)'!$Q$335,"",$H211+1),"")</f>
        <v/>
      </c>
      <c r="I212" s="216" t="str">
        <f>_xlfn.XLOOKUP($H212,'(backend scoring)'!$S$2:$S$333,'(backend scoring)'!$A$2:$A$333,"")</f>
        <v/>
      </c>
      <c r="J212" s="216" t="str">
        <f>IFERROR(VLOOKUP($I212,'Institution Evaluation'!$A$55:$F$346,2,0),IFERROR(VLOOKUP($I212,'Privacy Analyst Evaluation'!$A$46:$F$120,2,0),""))</f>
        <v/>
      </c>
      <c r="K212" s="216" t="str">
        <f>IFERROR(VLOOKUP($I212,'Institution Evaluation'!$A$55:$F$346,3,0),IFERROR(VLOOKUP($I212,'Privacy Analyst Evaluation'!$A$46:$F$120,3,0),""))&amp;""</f>
        <v/>
      </c>
      <c r="L212" s="216" t="str">
        <f>IFERROR(VLOOKUP($I212,'Institution Evaluation'!$A$55:$F$346,4,0),IFERROR(VLOOKUP($I212,'Privacy Analyst Evaluation'!$A$46:$F$120,4,0),""))&amp;""</f>
        <v/>
      </c>
      <c r="M212" s="216" t="str">
        <f>IFERROR(VLOOKUP($I212,'Institution Evaluation'!$A$55:$F$346,6,0),IFERROR(VLOOKUP($I212,'Privacy Analyst Evaluation'!$A$46:$F$120,6,0),""))&amp;""</f>
        <v/>
      </c>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row>
    <row r="213" spans="1:338" x14ac:dyDescent="0.3">
      <c r="A213" s="216" t="str">
        <f>IFERROR(IF($A212+1&gt;'(backend scoring)'!$T$335,"",$A212+1),"")</f>
        <v/>
      </c>
      <c r="B213" s="216" t="str">
        <f>_xlfn.XLOOKUP($A213,'(backend scoring)'!$V$2:$V$333,'(backend scoring)'!$A$2:$A$333,"")</f>
        <v/>
      </c>
      <c r="C213" s="216" t="str">
        <f>IFERROR(VLOOKUP($B213,'Institution Evaluation'!$A$55:$F$346,2,0),IFERROR(VLOOKUP($B213,'Privacy Analyst Evaluation'!$A$46:$F$120,2,0),""))&amp;""</f>
        <v/>
      </c>
      <c r="D213" s="216" t="str">
        <f>IFERROR(VLOOKUP($B213,'Institution Evaluation'!$A$55:$F$346,3,0),IFERROR(VLOOKUP($B213,'Privacy Analyst Evaluation'!$A$46:$F$120,3,0),""))&amp;""</f>
        <v/>
      </c>
      <c r="E213" s="216" t="str">
        <f>IFERROR(VLOOKUP($B213,'Institution Evaluation'!$A$55:$F$346,4,0),IFERROR(VLOOKUP($B213,'Privacy Analyst Evaluation'!$A$46:$F$120,4,0),""))&amp;""</f>
        <v/>
      </c>
      <c r="F213" s="216" t="str">
        <f>IFERROR(VLOOKUP($B213,'Institution Evaluation'!$A$55:$F$346,6,0),IFERROR(VLOOKUP($B213,'Privacy Analyst Evaluation'!$A$46:$F$120,6,0),""))&amp;""</f>
        <v/>
      </c>
      <c r="G213" s="217"/>
      <c r="H213" s="216" t="str">
        <f>IFERROR(IF($H212+1&gt;'(backend scoring)'!$Q$335,"",$H212+1),"")</f>
        <v/>
      </c>
      <c r="I213" s="216" t="str">
        <f>_xlfn.XLOOKUP($H213,'(backend scoring)'!$S$2:$S$333,'(backend scoring)'!$A$2:$A$333,"")</f>
        <v/>
      </c>
      <c r="J213" s="216" t="str">
        <f>IFERROR(VLOOKUP($I213,'Institution Evaluation'!$A$55:$F$346,2,0),IFERROR(VLOOKUP($I213,'Privacy Analyst Evaluation'!$A$46:$F$120,2,0),""))</f>
        <v/>
      </c>
      <c r="K213" s="216" t="str">
        <f>IFERROR(VLOOKUP($I213,'Institution Evaluation'!$A$55:$F$346,3,0),IFERROR(VLOOKUP($I213,'Privacy Analyst Evaluation'!$A$46:$F$120,3,0),""))&amp;""</f>
        <v/>
      </c>
      <c r="L213" s="216" t="str">
        <f>IFERROR(VLOOKUP($I213,'Institution Evaluation'!$A$55:$F$346,4,0),IFERROR(VLOOKUP($I213,'Privacy Analyst Evaluation'!$A$46:$F$120,4,0),""))&amp;""</f>
        <v/>
      </c>
      <c r="M213" s="216" t="str">
        <f>IFERROR(VLOOKUP($I213,'Institution Evaluation'!$A$55:$F$346,6,0),IFERROR(VLOOKUP($I213,'Privacy Analyst Evaluation'!$A$46:$F$120,6,0),""))&amp;""</f>
        <v/>
      </c>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row>
    <row r="214" spans="1:338" x14ac:dyDescent="0.3">
      <c r="A214" s="216" t="str">
        <f>IFERROR(IF($A213+1&gt;'(backend scoring)'!$T$335,"",$A213+1),"")</f>
        <v/>
      </c>
      <c r="B214" s="216" t="str">
        <f>_xlfn.XLOOKUP($A214,'(backend scoring)'!$V$2:$V$333,'(backend scoring)'!$A$2:$A$333,"")</f>
        <v/>
      </c>
      <c r="C214" s="216" t="str">
        <f>IFERROR(VLOOKUP($B214,'Institution Evaluation'!$A$55:$F$346,2,0),IFERROR(VLOOKUP($B214,'Privacy Analyst Evaluation'!$A$46:$F$120,2,0),""))&amp;""</f>
        <v/>
      </c>
      <c r="D214" s="216" t="str">
        <f>IFERROR(VLOOKUP($B214,'Institution Evaluation'!$A$55:$F$346,3,0),IFERROR(VLOOKUP($B214,'Privacy Analyst Evaluation'!$A$46:$F$120,3,0),""))&amp;""</f>
        <v/>
      </c>
      <c r="E214" s="216" t="str">
        <f>IFERROR(VLOOKUP($B214,'Institution Evaluation'!$A$55:$F$346,4,0),IFERROR(VLOOKUP($B214,'Privacy Analyst Evaluation'!$A$46:$F$120,4,0),""))&amp;""</f>
        <v/>
      </c>
      <c r="F214" s="216" t="str">
        <f>IFERROR(VLOOKUP($B214,'Institution Evaluation'!$A$55:$F$346,6,0),IFERROR(VLOOKUP($B214,'Privacy Analyst Evaluation'!$A$46:$F$120,6,0),""))&amp;""</f>
        <v/>
      </c>
      <c r="G214" s="217"/>
      <c r="H214" s="216" t="str">
        <f>IFERROR(IF($H213+1&gt;'(backend scoring)'!$Q$335,"",$H213+1),"")</f>
        <v/>
      </c>
      <c r="I214" s="216" t="str">
        <f>_xlfn.XLOOKUP($H214,'(backend scoring)'!$S$2:$S$333,'(backend scoring)'!$A$2:$A$333,"")</f>
        <v/>
      </c>
      <c r="J214" s="216" t="str">
        <f>IFERROR(VLOOKUP($I214,'Institution Evaluation'!$A$55:$F$346,2,0),IFERROR(VLOOKUP($I214,'Privacy Analyst Evaluation'!$A$46:$F$120,2,0),""))</f>
        <v/>
      </c>
      <c r="K214" s="216" t="str">
        <f>IFERROR(VLOOKUP($I214,'Institution Evaluation'!$A$55:$F$346,3,0),IFERROR(VLOOKUP($I214,'Privacy Analyst Evaluation'!$A$46:$F$120,3,0),""))&amp;""</f>
        <v/>
      </c>
      <c r="L214" s="216" t="str">
        <f>IFERROR(VLOOKUP($I214,'Institution Evaluation'!$A$55:$F$346,4,0),IFERROR(VLOOKUP($I214,'Privacy Analyst Evaluation'!$A$46:$F$120,4,0),""))&amp;""</f>
        <v/>
      </c>
      <c r="M214" s="216" t="str">
        <f>IFERROR(VLOOKUP($I214,'Institution Evaluation'!$A$55:$F$346,6,0),IFERROR(VLOOKUP($I214,'Privacy Analyst Evaluation'!$A$46:$F$120,6,0),""))&amp;""</f>
        <v/>
      </c>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row>
    <row r="215" spans="1:338" x14ac:dyDescent="0.3">
      <c r="A215" s="216" t="str">
        <f>IFERROR(IF($A214+1&gt;'(backend scoring)'!$T$335,"",$A214+1),"")</f>
        <v/>
      </c>
      <c r="B215" s="216" t="str">
        <f>_xlfn.XLOOKUP($A215,'(backend scoring)'!$V$2:$V$333,'(backend scoring)'!$A$2:$A$333,"")</f>
        <v/>
      </c>
      <c r="C215" s="216" t="str">
        <f>IFERROR(VLOOKUP($B215,'Institution Evaluation'!$A$55:$F$346,2,0),IFERROR(VLOOKUP($B215,'Privacy Analyst Evaluation'!$A$46:$F$120,2,0),""))&amp;""</f>
        <v/>
      </c>
      <c r="D215" s="216" t="str">
        <f>IFERROR(VLOOKUP($B215,'Institution Evaluation'!$A$55:$F$346,3,0),IFERROR(VLOOKUP($B215,'Privacy Analyst Evaluation'!$A$46:$F$120,3,0),""))&amp;""</f>
        <v/>
      </c>
      <c r="E215" s="216" t="str">
        <f>IFERROR(VLOOKUP($B215,'Institution Evaluation'!$A$55:$F$346,4,0),IFERROR(VLOOKUP($B215,'Privacy Analyst Evaluation'!$A$46:$F$120,4,0),""))&amp;""</f>
        <v/>
      </c>
      <c r="F215" s="216" t="str">
        <f>IFERROR(VLOOKUP($B215,'Institution Evaluation'!$A$55:$F$346,6,0),IFERROR(VLOOKUP($B215,'Privacy Analyst Evaluation'!$A$46:$F$120,6,0),""))&amp;""</f>
        <v/>
      </c>
      <c r="G215" s="217"/>
      <c r="H215" s="216" t="str">
        <f>IFERROR(IF($H214+1&gt;'(backend scoring)'!$Q$335,"",$H214+1),"")</f>
        <v/>
      </c>
      <c r="I215" s="216" t="str">
        <f>_xlfn.XLOOKUP($H215,'(backend scoring)'!$S$2:$S$333,'(backend scoring)'!$A$2:$A$333,"")</f>
        <v/>
      </c>
      <c r="J215" s="216" t="str">
        <f>IFERROR(VLOOKUP($I215,'Institution Evaluation'!$A$55:$F$346,2,0),IFERROR(VLOOKUP($I215,'Privacy Analyst Evaluation'!$A$46:$F$120,2,0),""))</f>
        <v/>
      </c>
      <c r="K215" s="216" t="str">
        <f>IFERROR(VLOOKUP($I215,'Institution Evaluation'!$A$55:$F$346,3,0),IFERROR(VLOOKUP($I215,'Privacy Analyst Evaluation'!$A$46:$F$120,3,0),""))&amp;""</f>
        <v/>
      </c>
      <c r="L215" s="216" t="str">
        <f>IFERROR(VLOOKUP($I215,'Institution Evaluation'!$A$55:$F$346,4,0),IFERROR(VLOOKUP($I215,'Privacy Analyst Evaluation'!$A$46:$F$120,4,0),""))&amp;""</f>
        <v/>
      </c>
      <c r="M215" s="216" t="str">
        <f>IFERROR(VLOOKUP($I215,'Institution Evaluation'!$A$55:$F$346,6,0),IFERROR(VLOOKUP($I215,'Privacy Analyst Evaluation'!$A$46:$F$120,6,0),""))&amp;""</f>
        <v/>
      </c>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row>
    <row r="216" spans="1:338" x14ac:dyDescent="0.3">
      <c r="A216" s="216" t="str">
        <f>IFERROR(IF($A215+1&gt;'(backend scoring)'!$T$335,"",$A215+1),"")</f>
        <v/>
      </c>
      <c r="B216" s="216" t="str">
        <f>_xlfn.XLOOKUP($A216,'(backend scoring)'!$V$2:$V$333,'(backend scoring)'!$A$2:$A$333,"")</f>
        <v/>
      </c>
      <c r="C216" s="216" t="str">
        <f>IFERROR(VLOOKUP($B216,'Institution Evaluation'!$A$55:$F$346,2,0),IFERROR(VLOOKUP($B216,'Privacy Analyst Evaluation'!$A$46:$F$120,2,0),""))&amp;""</f>
        <v/>
      </c>
      <c r="D216" s="216" t="str">
        <f>IFERROR(VLOOKUP($B216,'Institution Evaluation'!$A$55:$F$346,3,0),IFERROR(VLOOKUP($B216,'Privacy Analyst Evaluation'!$A$46:$F$120,3,0),""))&amp;""</f>
        <v/>
      </c>
      <c r="E216" s="216" t="str">
        <f>IFERROR(VLOOKUP($B216,'Institution Evaluation'!$A$55:$F$346,4,0),IFERROR(VLOOKUP($B216,'Privacy Analyst Evaluation'!$A$46:$F$120,4,0),""))&amp;""</f>
        <v/>
      </c>
      <c r="F216" s="216" t="str">
        <f>IFERROR(VLOOKUP($B216,'Institution Evaluation'!$A$55:$F$346,6,0),IFERROR(VLOOKUP($B216,'Privacy Analyst Evaluation'!$A$46:$F$120,6,0),""))&amp;""</f>
        <v/>
      </c>
      <c r="G216" s="217"/>
      <c r="H216" s="216" t="str">
        <f>IFERROR(IF($H215+1&gt;'(backend scoring)'!$Q$335,"",$H215+1),"")</f>
        <v/>
      </c>
      <c r="I216" s="216" t="str">
        <f>_xlfn.XLOOKUP($H216,'(backend scoring)'!$S$2:$S$333,'(backend scoring)'!$A$2:$A$333,"")</f>
        <v/>
      </c>
      <c r="J216" s="216" t="str">
        <f>IFERROR(VLOOKUP($I216,'Institution Evaluation'!$A$55:$F$346,2,0),IFERROR(VLOOKUP($I216,'Privacy Analyst Evaluation'!$A$46:$F$120,2,0),""))</f>
        <v/>
      </c>
      <c r="K216" s="216" t="str">
        <f>IFERROR(VLOOKUP($I216,'Institution Evaluation'!$A$55:$F$346,3,0),IFERROR(VLOOKUP($I216,'Privacy Analyst Evaluation'!$A$46:$F$120,3,0),""))&amp;""</f>
        <v/>
      </c>
      <c r="L216" s="216" t="str">
        <f>IFERROR(VLOOKUP($I216,'Institution Evaluation'!$A$55:$F$346,4,0),IFERROR(VLOOKUP($I216,'Privacy Analyst Evaluation'!$A$46:$F$120,4,0),""))&amp;""</f>
        <v/>
      </c>
      <c r="M216" s="216" t="str">
        <f>IFERROR(VLOOKUP($I216,'Institution Evaluation'!$A$55:$F$346,6,0),IFERROR(VLOOKUP($I216,'Privacy Analyst Evaluation'!$A$46:$F$120,6,0),""))&amp;""</f>
        <v/>
      </c>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row>
    <row r="217" spans="1:338" x14ac:dyDescent="0.3">
      <c r="A217" s="216" t="str">
        <f>IFERROR(IF($A216+1&gt;'(backend scoring)'!$T$335,"",$A216+1),"")</f>
        <v/>
      </c>
      <c r="B217" s="216" t="str">
        <f>_xlfn.XLOOKUP($A217,'(backend scoring)'!$V$2:$V$333,'(backend scoring)'!$A$2:$A$333,"")</f>
        <v/>
      </c>
      <c r="C217" s="216" t="str">
        <f>IFERROR(VLOOKUP($B217,'Institution Evaluation'!$A$55:$F$346,2,0),IFERROR(VLOOKUP($B217,'Privacy Analyst Evaluation'!$A$46:$F$120,2,0),""))&amp;""</f>
        <v/>
      </c>
      <c r="D217" s="216" t="str">
        <f>IFERROR(VLOOKUP($B217,'Institution Evaluation'!$A$55:$F$346,3,0),IFERROR(VLOOKUP($B217,'Privacy Analyst Evaluation'!$A$46:$F$120,3,0),""))&amp;""</f>
        <v/>
      </c>
      <c r="E217" s="216" t="str">
        <f>IFERROR(VLOOKUP($B217,'Institution Evaluation'!$A$55:$F$346,4,0),IFERROR(VLOOKUP($B217,'Privacy Analyst Evaluation'!$A$46:$F$120,4,0),""))&amp;""</f>
        <v/>
      </c>
      <c r="F217" s="216" t="str">
        <f>IFERROR(VLOOKUP($B217,'Institution Evaluation'!$A$55:$F$346,6,0),IFERROR(VLOOKUP($B217,'Privacy Analyst Evaluation'!$A$46:$F$120,6,0),""))&amp;""</f>
        <v/>
      </c>
      <c r="G217" s="217"/>
      <c r="H217" s="216" t="str">
        <f>IFERROR(IF($H216+1&gt;'(backend scoring)'!$Q$335,"",$H216+1),"")</f>
        <v/>
      </c>
      <c r="I217" s="216" t="str">
        <f>_xlfn.XLOOKUP($H217,'(backend scoring)'!$S$2:$S$333,'(backend scoring)'!$A$2:$A$333,"")</f>
        <v/>
      </c>
      <c r="J217" s="216" t="str">
        <f>IFERROR(VLOOKUP($I217,'Institution Evaluation'!$A$55:$F$346,2,0),IFERROR(VLOOKUP($I217,'Privacy Analyst Evaluation'!$A$46:$F$120,2,0),""))</f>
        <v/>
      </c>
      <c r="K217" s="216" t="str">
        <f>IFERROR(VLOOKUP($I217,'Institution Evaluation'!$A$55:$F$346,3,0),IFERROR(VLOOKUP($I217,'Privacy Analyst Evaluation'!$A$46:$F$120,3,0),""))&amp;""</f>
        <v/>
      </c>
      <c r="L217" s="216" t="str">
        <f>IFERROR(VLOOKUP($I217,'Institution Evaluation'!$A$55:$F$346,4,0),IFERROR(VLOOKUP($I217,'Privacy Analyst Evaluation'!$A$46:$F$120,4,0),""))&amp;""</f>
        <v/>
      </c>
      <c r="M217" s="216" t="str">
        <f>IFERROR(VLOOKUP($I217,'Institution Evaluation'!$A$55:$F$346,6,0),IFERROR(VLOOKUP($I217,'Privacy Analyst Evaluation'!$A$46:$F$120,6,0),""))&amp;""</f>
        <v/>
      </c>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row>
    <row r="218" spans="1:338" x14ac:dyDescent="0.3">
      <c r="A218" s="216" t="str">
        <f>IFERROR(IF($A217+1&gt;'(backend scoring)'!$T$335,"",$A217+1),"")</f>
        <v/>
      </c>
      <c r="B218" s="216" t="str">
        <f>_xlfn.XLOOKUP($A218,'(backend scoring)'!$V$2:$V$333,'(backend scoring)'!$A$2:$A$333,"")</f>
        <v/>
      </c>
      <c r="C218" s="216" t="str">
        <f>IFERROR(VLOOKUP($B218,'Institution Evaluation'!$A$55:$F$346,2,0),IFERROR(VLOOKUP($B218,'Privacy Analyst Evaluation'!$A$46:$F$120,2,0),""))&amp;""</f>
        <v/>
      </c>
      <c r="D218" s="216" t="str">
        <f>IFERROR(VLOOKUP($B218,'Institution Evaluation'!$A$55:$F$346,3,0),IFERROR(VLOOKUP($B218,'Privacy Analyst Evaluation'!$A$46:$F$120,3,0),""))&amp;""</f>
        <v/>
      </c>
      <c r="E218" s="216" t="str">
        <f>IFERROR(VLOOKUP($B218,'Institution Evaluation'!$A$55:$F$346,4,0),IFERROR(VLOOKUP($B218,'Privacy Analyst Evaluation'!$A$46:$F$120,4,0),""))&amp;""</f>
        <v/>
      </c>
      <c r="F218" s="216" t="str">
        <f>IFERROR(VLOOKUP($B218,'Institution Evaluation'!$A$55:$F$346,6,0),IFERROR(VLOOKUP($B218,'Privacy Analyst Evaluation'!$A$46:$F$120,6,0),""))&amp;""</f>
        <v/>
      </c>
      <c r="G218" s="217"/>
      <c r="H218" s="216" t="str">
        <f>IFERROR(IF($H217+1&gt;'(backend scoring)'!$Q$335,"",$H217+1),"")</f>
        <v/>
      </c>
      <c r="I218" s="216" t="str">
        <f>_xlfn.XLOOKUP($H218,'(backend scoring)'!$S$2:$S$333,'(backend scoring)'!$A$2:$A$333,"")</f>
        <v/>
      </c>
      <c r="J218" s="216" t="str">
        <f>IFERROR(VLOOKUP($I218,'Institution Evaluation'!$A$55:$F$346,2,0),IFERROR(VLOOKUP($I218,'Privacy Analyst Evaluation'!$A$46:$F$120,2,0),""))</f>
        <v/>
      </c>
      <c r="K218" s="216" t="str">
        <f>IFERROR(VLOOKUP($I218,'Institution Evaluation'!$A$55:$F$346,3,0),IFERROR(VLOOKUP($I218,'Privacy Analyst Evaluation'!$A$46:$F$120,3,0),""))&amp;""</f>
        <v/>
      </c>
      <c r="L218" s="216" t="str">
        <f>IFERROR(VLOOKUP($I218,'Institution Evaluation'!$A$55:$F$346,4,0),IFERROR(VLOOKUP($I218,'Privacy Analyst Evaluation'!$A$46:$F$120,4,0),""))&amp;""</f>
        <v/>
      </c>
      <c r="M218" s="216" t="str">
        <f>IFERROR(VLOOKUP($I218,'Institution Evaluation'!$A$55:$F$346,6,0),IFERROR(VLOOKUP($I218,'Privacy Analyst Evaluation'!$A$46:$F$120,6,0),""))&amp;""</f>
        <v/>
      </c>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row>
    <row r="219" spans="1:338" x14ac:dyDescent="0.3">
      <c r="A219" s="216" t="str">
        <f>IFERROR(IF($A218+1&gt;'(backend scoring)'!$T$335,"",$A218+1),"")</f>
        <v/>
      </c>
      <c r="B219" s="216" t="str">
        <f>_xlfn.XLOOKUP($A219,'(backend scoring)'!$V$2:$V$333,'(backend scoring)'!$A$2:$A$333,"")</f>
        <v/>
      </c>
      <c r="C219" s="216" t="str">
        <f>IFERROR(VLOOKUP($B219,'Institution Evaluation'!$A$55:$F$346,2,0),IFERROR(VLOOKUP($B219,'Privacy Analyst Evaluation'!$A$46:$F$120,2,0),""))&amp;""</f>
        <v/>
      </c>
      <c r="D219" s="216" t="str">
        <f>IFERROR(VLOOKUP($B219,'Institution Evaluation'!$A$55:$F$346,3,0),IFERROR(VLOOKUP($B219,'Privacy Analyst Evaluation'!$A$46:$F$120,3,0),""))&amp;""</f>
        <v/>
      </c>
      <c r="E219" s="216" t="str">
        <f>IFERROR(VLOOKUP($B219,'Institution Evaluation'!$A$55:$F$346,4,0),IFERROR(VLOOKUP($B219,'Privacy Analyst Evaluation'!$A$46:$F$120,4,0),""))&amp;""</f>
        <v/>
      </c>
      <c r="F219" s="216" t="str">
        <f>IFERROR(VLOOKUP($B219,'Institution Evaluation'!$A$55:$F$346,6,0),IFERROR(VLOOKUP($B219,'Privacy Analyst Evaluation'!$A$46:$F$120,6,0),""))&amp;""</f>
        <v/>
      </c>
      <c r="G219" s="217"/>
      <c r="H219" s="216" t="str">
        <f>IFERROR(IF($H218+1&gt;'(backend scoring)'!$Q$335,"",$H218+1),"")</f>
        <v/>
      </c>
      <c r="I219" s="216" t="str">
        <f>_xlfn.XLOOKUP($H219,'(backend scoring)'!$S$2:$S$333,'(backend scoring)'!$A$2:$A$333,"")</f>
        <v/>
      </c>
      <c r="J219" s="216" t="str">
        <f>IFERROR(VLOOKUP($I219,'Institution Evaluation'!$A$55:$F$346,2,0),IFERROR(VLOOKUP($I219,'Privacy Analyst Evaluation'!$A$46:$F$120,2,0),""))</f>
        <v/>
      </c>
      <c r="K219" s="216" t="str">
        <f>IFERROR(VLOOKUP($I219,'Institution Evaluation'!$A$55:$F$346,3,0),IFERROR(VLOOKUP($I219,'Privacy Analyst Evaluation'!$A$46:$F$120,3,0),""))&amp;""</f>
        <v/>
      </c>
      <c r="L219" s="216" t="str">
        <f>IFERROR(VLOOKUP($I219,'Institution Evaluation'!$A$55:$F$346,4,0),IFERROR(VLOOKUP($I219,'Privacy Analyst Evaluation'!$A$46:$F$120,4,0),""))&amp;""</f>
        <v/>
      </c>
      <c r="M219" s="216" t="str">
        <f>IFERROR(VLOOKUP($I219,'Institution Evaluation'!$A$55:$F$346,6,0),IFERROR(VLOOKUP($I219,'Privacy Analyst Evaluation'!$A$46:$F$120,6,0),""))&amp;""</f>
        <v/>
      </c>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row>
    <row r="220" spans="1:338" x14ac:dyDescent="0.3">
      <c r="A220" s="216" t="str">
        <f>IFERROR(IF($A219+1&gt;'(backend scoring)'!$T$335,"",$A219+1),"")</f>
        <v/>
      </c>
      <c r="B220" s="216" t="str">
        <f>_xlfn.XLOOKUP($A220,'(backend scoring)'!$V$2:$V$333,'(backend scoring)'!$A$2:$A$333,"")</f>
        <v/>
      </c>
      <c r="C220" s="216" t="str">
        <f>IFERROR(VLOOKUP($B220,'Institution Evaluation'!$A$55:$F$346,2,0),IFERROR(VLOOKUP($B220,'Privacy Analyst Evaluation'!$A$46:$F$120,2,0),""))&amp;""</f>
        <v/>
      </c>
      <c r="D220" s="216" t="str">
        <f>IFERROR(VLOOKUP($B220,'Institution Evaluation'!$A$55:$F$346,3,0),IFERROR(VLOOKUP($B220,'Privacy Analyst Evaluation'!$A$46:$F$120,3,0),""))&amp;""</f>
        <v/>
      </c>
      <c r="E220" s="216" t="str">
        <f>IFERROR(VLOOKUP($B220,'Institution Evaluation'!$A$55:$F$346,4,0),IFERROR(VLOOKUP($B220,'Privacy Analyst Evaluation'!$A$46:$F$120,4,0),""))&amp;""</f>
        <v/>
      </c>
      <c r="F220" s="216" t="str">
        <f>IFERROR(VLOOKUP($B220,'Institution Evaluation'!$A$55:$F$346,6,0),IFERROR(VLOOKUP($B220,'Privacy Analyst Evaluation'!$A$46:$F$120,6,0),""))&amp;""</f>
        <v/>
      </c>
      <c r="G220" s="217"/>
      <c r="H220" s="216" t="str">
        <f>IFERROR(IF($H219+1&gt;'(backend scoring)'!$Q$335,"",$H219+1),"")</f>
        <v/>
      </c>
      <c r="I220" s="216" t="str">
        <f>_xlfn.XLOOKUP($H220,'(backend scoring)'!$S$2:$S$333,'(backend scoring)'!$A$2:$A$333,"")</f>
        <v/>
      </c>
      <c r="J220" s="216" t="str">
        <f>IFERROR(VLOOKUP($I220,'Institution Evaluation'!$A$55:$F$346,2,0),IFERROR(VLOOKUP($I220,'Privacy Analyst Evaluation'!$A$46:$F$120,2,0),""))</f>
        <v/>
      </c>
      <c r="K220" s="216" t="str">
        <f>IFERROR(VLOOKUP($I220,'Institution Evaluation'!$A$55:$F$346,3,0),IFERROR(VLOOKUP($I220,'Privacy Analyst Evaluation'!$A$46:$F$120,3,0),""))&amp;""</f>
        <v/>
      </c>
      <c r="L220" s="216" t="str">
        <f>IFERROR(VLOOKUP($I220,'Institution Evaluation'!$A$55:$F$346,4,0),IFERROR(VLOOKUP($I220,'Privacy Analyst Evaluation'!$A$46:$F$120,4,0),""))&amp;""</f>
        <v/>
      </c>
      <c r="M220" s="216" t="str">
        <f>IFERROR(VLOOKUP($I220,'Institution Evaluation'!$A$55:$F$346,6,0),IFERROR(VLOOKUP($I220,'Privacy Analyst Evaluation'!$A$46:$F$120,6,0),""))&amp;""</f>
        <v/>
      </c>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row>
    <row r="221" spans="1:338" x14ac:dyDescent="0.3">
      <c r="A221" s="216" t="str">
        <f>IFERROR(IF($A220+1&gt;'(backend scoring)'!$T$335,"",$A220+1),"")</f>
        <v/>
      </c>
      <c r="B221" s="216" t="str">
        <f>_xlfn.XLOOKUP($A221,'(backend scoring)'!$V$2:$V$333,'(backend scoring)'!$A$2:$A$333,"")</f>
        <v/>
      </c>
      <c r="C221" s="216" t="str">
        <f>IFERROR(VLOOKUP($B221,'Institution Evaluation'!$A$55:$F$346,2,0),IFERROR(VLOOKUP($B221,'Privacy Analyst Evaluation'!$A$46:$F$120,2,0),""))&amp;""</f>
        <v/>
      </c>
      <c r="D221" s="216" t="str">
        <f>IFERROR(VLOOKUP($B221,'Institution Evaluation'!$A$55:$F$346,3,0),IFERROR(VLOOKUP($B221,'Privacy Analyst Evaluation'!$A$46:$F$120,3,0),""))&amp;""</f>
        <v/>
      </c>
      <c r="E221" s="216" t="str">
        <f>IFERROR(VLOOKUP($B221,'Institution Evaluation'!$A$55:$F$346,4,0),IFERROR(VLOOKUP($B221,'Privacy Analyst Evaluation'!$A$46:$F$120,4,0),""))&amp;""</f>
        <v/>
      </c>
      <c r="F221" s="216" t="str">
        <f>IFERROR(VLOOKUP($B221,'Institution Evaluation'!$A$55:$F$346,6,0),IFERROR(VLOOKUP($B221,'Privacy Analyst Evaluation'!$A$46:$F$120,6,0),""))&amp;""</f>
        <v/>
      </c>
      <c r="G221" s="217"/>
      <c r="H221" s="216" t="str">
        <f>IFERROR(IF($H220+1&gt;'(backend scoring)'!$Q$335,"",$H220+1),"")</f>
        <v/>
      </c>
      <c r="I221" s="216" t="str">
        <f>_xlfn.XLOOKUP($H221,'(backend scoring)'!$S$2:$S$333,'(backend scoring)'!$A$2:$A$333,"")</f>
        <v/>
      </c>
      <c r="J221" s="216" t="str">
        <f>IFERROR(VLOOKUP($I221,'Institution Evaluation'!$A$55:$F$346,2,0),IFERROR(VLOOKUP($I221,'Privacy Analyst Evaluation'!$A$46:$F$120,2,0),""))</f>
        <v/>
      </c>
      <c r="K221" s="216" t="str">
        <f>IFERROR(VLOOKUP($I221,'Institution Evaluation'!$A$55:$F$346,3,0),IFERROR(VLOOKUP($I221,'Privacy Analyst Evaluation'!$A$46:$F$120,3,0),""))&amp;""</f>
        <v/>
      </c>
      <c r="L221" s="216" t="str">
        <f>IFERROR(VLOOKUP($I221,'Institution Evaluation'!$A$55:$F$346,4,0),IFERROR(VLOOKUP($I221,'Privacy Analyst Evaluation'!$A$46:$F$120,4,0),""))&amp;""</f>
        <v/>
      </c>
      <c r="M221" s="216" t="str">
        <f>IFERROR(VLOOKUP($I221,'Institution Evaluation'!$A$55:$F$346,6,0),IFERROR(VLOOKUP($I221,'Privacy Analyst Evaluation'!$A$46:$F$120,6,0),""))&amp;""</f>
        <v/>
      </c>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row>
    <row r="222" spans="1:338" x14ac:dyDescent="0.3">
      <c r="A222" s="216" t="str">
        <f>IFERROR(IF($A221+1&gt;'(backend scoring)'!$T$335,"",$A221+1),"")</f>
        <v/>
      </c>
      <c r="B222" s="216" t="str">
        <f>_xlfn.XLOOKUP($A222,'(backend scoring)'!$V$2:$V$333,'(backend scoring)'!$A$2:$A$333,"")</f>
        <v/>
      </c>
      <c r="C222" s="216" t="str">
        <f>IFERROR(VLOOKUP($B222,'Institution Evaluation'!$A$55:$F$346,2,0),IFERROR(VLOOKUP($B222,'Privacy Analyst Evaluation'!$A$46:$F$120,2,0),""))&amp;""</f>
        <v/>
      </c>
      <c r="D222" s="216" t="str">
        <f>IFERROR(VLOOKUP($B222,'Institution Evaluation'!$A$55:$F$346,3,0),IFERROR(VLOOKUP($B222,'Privacy Analyst Evaluation'!$A$46:$F$120,3,0),""))&amp;""</f>
        <v/>
      </c>
      <c r="E222" s="216" t="str">
        <f>IFERROR(VLOOKUP($B222,'Institution Evaluation'!$A$55:$F$346,4,0),IFERROR(VLOOKUP($B222,'Privacy Analyst Evaluation'!$A$46:$F$120,4,0),""))&amp;""</f>
        <v/>
      </c>
      <c r="F222" s="216" t="str">
        <f>IFERROR(VLOOKUP($B222,'Institution Evaluation'!$A$55:$F$346,6,0),IFERROR(VLOOKUP($B222,'Privacy Analyst Evaluation'!$A$46:$F$120,6,0),""))&amp;""</f>
        <v/>
      </c>
      <c r="G222" s="217"/>
      <c r="H222" s="216" t="str">
        <f>IFERROR(IF($H221+1&gt;'(backend scoring)'!$Q$335,"",$H221+1),"")</f>
        <v/>
      </c>
      <c r="I222" s="216" t="str">
        <f>_xlfn.XLOOKUP($H222,'(backend scoring)'!$S$2:$S$333,'(backend scoring)'!$A$2:$A$333,"")</f>
        <v/>
      </c>
      <c r="J222" s="216" t="str">
        <f>IFERROR(VLOOKUP($I222,'Institution Evaluation'!$A$55:$F$346,2,0),IFERROR(VLOOKUP($I222,'Privacy Analyst Evaluation'!$A$46:$F$120,2,0),""))</f>
        <v/>
      </c>
      <c r="K222" s="216" t="str">
        <f>IFERROR(VLOOKUP($I222,'Institution Evaluation'!$A$55:$F$346,3,0),IFERROR(VLOOKUP($I222,'Privacy Analyst Evaluation'!$A$46:$F$120,3,0),""))&amp;""</f>
        <v/>
      </c>
      <c r="L222" s="216" t="str">
        <f>IFERROR(VLOOKUP($I222,'Institution Evaluation'!$A$55:$F$346,4,0),IFERROR(VLOOKUP($I222,'Privacy Analyst Evaluation'!$A$46:$F$120,4,0),""))&amp;""</f>
        <v/>
      </c>
      <c r="M222" s="216" t="str">
        <f>IFERROR(VLOOKUP($I222,'Institution Evaluation'!$A$55:$F$346,6,0),IFERROR(VLOOKUP($I222,'Privacy Analyst Evaluation'!$A$46:$F$120,6,0),""))&amp;""</f>
        <v/>
      </c>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row>
    <row r="223" spans="1:338" x14ac:dyDescent="0.3">
      <c r="A223" s="216" t="str">
        <f>IFERROR(IF($A222+1&gt;'(backend scoring)'!$T$335,"",$A222+1),"")</f>
        <v/>
      </c>
      <c r="B223" s="216" t="str">
        <f>_xlfn.XLOOKUP($A223,'(backend scoring)'!$V$2:$V$333,'(backend scoring)'!$A$2:$A$333,"")</f>
        <v/>
      </c>
      <c r="C223" s="216" t="str">
        <f>IFERROR(VLOOKUP($B223,'Institution Evaluation'!$A$55:$F$346,2,0),IFERROR(VLOOKUP($B223,'Privacy Analyst Evaluation'!$A$46:$F$120,2,0),""))&amp;""</f>
        <v/>
      </c>
      <c r="D223" s="216" t="str">
        <f>IFERROR(VLOOKUP($B223,'Institution Evaluation'!$A$55:$F$346,3,0),IFERROR(VLOOKUP($B223,'Privacy Analyst Evaluation'!$A$46:$F$120,3,0),""))&amp;""</f>
        <v/>
      </c>
      <c r="E223" s="216" t="str">
        <f>IFERROR(VLOOKUP($B223,'Institution Evaluation'!$A$55:$F$346,4,0),IFERROR(VLOOKUP($B223,'Privacy Analyst Evaluation'!$A$46:$F$120,4,0),""))&amp;""</f>
        <v/>
      </c>
      <c r="F223" s="216" t="str">
        <f>IFERROR(VLOOKUP($B223,'Institution Evaluation'!$A$55:$F$346,6,0),IFERROR(VLOOKUP($B223,'Privacy Analyst Evaluation'!$A$46:$F$120,6,0),""))&amp;""</f>
        <v/>
      </c>
      <c r="G223" s="217"/>
      <c r="H223" s="216" t="str">
        <f>IFERROR(IF($H222+1&gt;'(backend scoring)'!$Q$335,"",$H222+1),"")</f>
        <v/>
      </c>
      <c r="I223" s="216" t="str">
        <f>_xlfn.XLOOKUP($H223,'(backend scoring)'!$S$2:$S$333,'(backend scoring)'!$A$2:$A$333,"")</f>
        <v/>
      </c>
      <c r="J223" s="216" t="str">
        <f>IFERROR(VLOOKUP($I223,'Institution Evaluation'!$A$55:$F$346,2,0),IFERROR(VLOOKUP($I223,'Privacy Analyst Evaluation'!$A$46:$F$120,2,0),""))</f>
        <v/>
      </c>
      <c r="K223" s="216" t="str">
        <f>IFERROR(VLOOKUP($I223,'Institution Evaluation'!$A$55:$F$346,3,0),IFERROR(VLOOKUP($I223,'Privacy Analyst Evaluation'!$A$46:$F$120,3,0),""))&amp;""</f>
        <v/>
      </c>
      <c r="L223" s="216" t="str">
        <f>IFERROR(VLOOKUP($I223,'Institution Evaluation'!$A$55:$F$346,4,0),IFERROR(VLOOKUP($I223,'Privacy Analyst Evaluation'!$A$46:$F$120,4,0),""))&amp;""</f>
        <v/>
      </c>
      <c r="M223" s="216" t="str">
        <f>IFERROR(VLOOKUP($I223,'Institution Evaluation'!$A$55:$F$346,6,0),IFERROR(VLOOKUP($I223,'Privacy Analyst Evaluation'!$A$46:$F$120,6,0),""))&amp;""</f>
        <v/>
      </c>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row>
    <row r="224" spans="1:338" x14ac:dyDescent="0.3">
      <c r="A224" s="216" t="str">
        <f>IFERROR(IF($A223+1&gt;'(backend scoring)'!$T$335,"",$A223+1),"")</f>
        <v/>
      </c>
      <c r="B224" s="216" t="str">
        <f>_xlfn.XLOOKUP($A224,'(backend scoring)'!$V$2:$V$333,'(backend scoring)'!$A$2:$A$333,"")</f>
        <v/>
      </c>
      <c r="C224" s="216" t="str">
        <f>IFERROR(VLOOKUP($B224,'Institution Evaluation'!$A$55:$F$346,2,0),IFERROR(VLOOKUP($B224,'Privacy Analyst Evaluation'!$A$46:$F$120,2,0),""))&amp;""</f>
        <v/>
      </c>
      <c r="D224" s="216" t="str">
        <f>IFERROR(VLOOKUP($B224,'Institution Evaluation'!$A$55:$F$346,3,0),IFERROR(VLOOKUP($B224,'Privacy Analyst Evaluation'!$A$46:$F$120,3,0),""))&amp;""</f>
        <v/>
      </c>
      <c r="E224" s="216" t="str">
        <f>IFERROR(VLOOKUP($B224,'Institution Evaluation'!$A$55:$F$346,4,0),IFERROR(VLOOKUP($B224,'Privacy Analyst Evaluation'!$A$46:$F$120,4,0),""))&amp;""</f>
        <v/>
      </c>
      <c r="F224" s="216" t="str">
        <f>IFERROR(VLOOKUP($B224,'Institution Evaluation'!$A$55:$F$346,6,0),IFERROR(VLOOKUP($B224,'Privacy Analyst Evaluation'!$A$46:$F$120,6,0),""))&amp;""</f>
        <v/>
      </c>
      <c r="G224" s="217"/>
      <c r="H224" s="216" t="str">
        <f>IFERROR(IF($H223+1&gt;'(backend scoring)'!$Q$335,"",$H223+1),"")</f>
        <v/>
      </c>
      <c r="I224" s="216" t="str">
        <f>_xlfn.XLOOKUP($H224,'(backend scoring)'!$S$2:$S$333,'(backend scoring)'!$A$2:$A$333,"")</f>
        <v/>
      </c>
      <c r="J224" s="216" t="str">
        <f>IFERROR(VLOOKUP($I224,'Institution Evaluation'!$A$55:$F$346,2,0),IFERROR(VLOOKUP($I224,'Privacy Analyst Evaluation'!$A$46:$F$120,2,0),""))</f>
        <v/>
      </c>
      <c r="K224" s="216" t="str">
        <f>IFERROR(VLOOKUP($I224,'Institution Evaluation'!$A$55:$F$346,3,0),IFERROR(VLOOKUP($I224,'Privacy Analyst Evaluation'!$A$46:$F$120,3,0),""))&amp;""</f>
        <v/>
      </c>
      <c r="L224" s="216" t="str">
        <f>IFERROR(VLOOKUP($I224,'Institution Evaluation'!$A$55:$F$346,4,0),IFERROR(VLOOKUP($I224,'Privacy Analyst Evaluation'!$A$46:$F$120,4,0),""))&amp;""</f>
        <v/>
      </c>
      <c r="M224" s="216" t="str">
        <f>IFERROR(VLOOKUP($I224,'Institution Evaluation'!$A$55:$F$346,6,0),IFERROR(VLOOKUP($I224,'Privacy Analyst Evaluation'!$A$46:$F$120,6,0),""))&amp;""</f>
        <v/>
      </c>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row>
    <row r="225" spans="1:338" x14ac:dyDescent="0.3">
      <c r="A225" s="216" t="str">
        <f>IFERROR(IF($A224+1&gt;'(backend scoring)'!$T$335,"",$A224+1),"")</f>
        <v/>
      </c>
      <c r="B225" s="216" t="str">
        <f>_xlfn.XLOOKUP($A225,'(backend scoring)'!$V$2:$V$333,'(backend scoring)'!$A$2:$A$333,"")</f>
        <v/>
      </c>
      <c r="C225" s="216" t="str">
        <f>IFERROR(VLOOKUP($B225,'Institution Evaluation'!$A$55:$F$346,2,0),IFERROR(VLOOKUP($B225,'Privacy Analyst Evaluation'!$A$46:$F$120,2,0),""))&amp;""</f>
        <v/>
      </c>
      <c r="D225" s="216" t="str">
        <f>IFERROR(VLOOKUP($B225,'Institution Evaluation'!$A$55:$F$346,3,0),IFERROR(VLOOKUP($B225,'Privacy Analyst Evaluation'!$A$46:$F$120,3,0),""))&amp;""</f>
        <v/>
      </c>
      <c r="E225" s="216" t="str">
        <f>IFERROR(VLOOKUP($B225,'Institution Evaluation'!$A$55:$F$346,4,0),IFERROR(VLOOKUP($B225,'Privacy Analyst Evaluation'!$A$46:$F$120,4,0),""))&amp;""</f>
        <v/>
      </c>
      <c r="F225" s="216" t="str">
        <f>IFERROR(VLOOKUP($B225,'Institution Evaluation'!$A$55:$F$346,6,0),IFERROR(VLOOKUP($B225,'Privacy Analyst Evaluation'!$A$46:$F$120,6,0),""))&amp;""</f>
        <v/>
      </c>
      <c r="G225" s="217"/>
      <c r="H225" s="216" t="str">
        <f>IFERROR(IF($H224+1&gt;'(backend scoring)'!$Q$335,"",$H224+1),"")</f>
        <v/>
      </c>
      <c r="I225" s="216" t="str">
        <f>_xlfn.XLOOKUP($H225,'(backend scoring)'!$S$2:$S$333,'(backend scoring)'!$A$2:$A$333,"")</f>
        <v/>
      </c>
      <c r="J225" s="216" t="str">
        <f>IFERROR(VLOOKUP($I225,'Institution Evaluation'!$A$55:$F$346,2,0),IFERROR(VLOOKUP($I225,'Privacy Analyst Evaluation'!$A$46:$F$120,2,0),""))</f>
        <v/>
      </c>
      <c r="K225" s="216" t="str">
        <f>IFERROR(VLOOKUP($I225,'Institution Evaluation'!$A$55:$F$346,3,0),IFERROR(VLOOKUP($I225,'Privacy Analyst Evaluation'!$A$46:$F$120,3,0),""))&amp;""</f>
        <v/>
      </c>
      <c r="L225" s="216" t="str">
        <f>IFERROR(VLOOKUP($I225,'Institution Evaluation'!$A$55:$F$346,4,0),IFERROR(VLOOKUP($I225,'Privacy Analyst Evaluation'!$A$46:$F$120,4,0),""))&amp;""</f>
        <v/>
      </c>
      <c r="M225" s="216" t="str">
        <f>IFERROR(VLOOKUP($I225,'Institution Evaluation'!$A$55:$F$346,6,0),IFERROR(VLOOKUP($I225,'Privacy Analyst Evaluation'!$A$46:$F$120,6,0),""))&amp;""</f>
        <v/>
      </c>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row>
    <row r="226" spans="1:338" x14ac:dyDescent="0.3">
      <c r="A226" s="216" t="str">
        <f>IFERROR(IF($A225+1&gt;'(backend scoring)'!$T$335,"",$A225+1),"")</f>
        <v/>
      </c>
      <c r="B226" s="216" t="str">
        <f>_xlfn.XLOOKUP($A226,'(backend scoring)'!$V$2:$V$333,'(backend scoring)'!$A$2:$A$333,"")</f>
        <v/>
      </c>
      <c r="C226" s="216" t="str">
        <f>IFERROR(VLOOKUP($B226,'Institution Evaluation'!$A$55:$F$346,2,0),IFERROR(VLOOKUP($B226,'Privacy Analyst Evaluation'!$A$46:$F$120,2,0),""))&amp;""</f>
        <v/>
      </c>
      <c r="D226" s="216" t="str">
        <f>IFERROR(VLOOKUP($B226,'Institution Evaluation'!$A$55:$F$346,3,0),IFERROR(VLOOKUP($B226,'Privacy Analyst Evaluation'!$A$46:$F$120,3,0),""))&amp;""</f>
        <v/>
      </c>
      <c r="E226" s="216" t="str">
        <f>IFERROR(VLOOKUP($B226,'Institution Evaluation'!$A$55:$F$346,4,0),IFERROR(VLOOKUP($B226,'Privacy Analyst Evaluation'!$A$46:$F$120,4,0),""))&amp;""</f>
        <v/>
      </c>
      <c r="F226" s="216" t="str">
        <f>IFERROR(VLOOKUP($B226,'Institution Evaluation'!$A$55:$F$346,6,0),IFERROR(VLOOKUP($B226,'Privacy Analyst Evaluation'!$A$46:$F$120,6,0),""))&amp;""</f>
        <v/>
      </c>
      <c r="G226" s="217"/>
      <c r="H226" s="216" t="str">
        <f>IFERROR(IF($H225+1&gt;'(backend scoring)'!$Q$335,"",$H225+1),"")</f>
        <v/>
      </c>
      <c r="I226" s="216" t="str">
        <f>_xlfn.XLOOKUP($H226,'(backend scoring)'!$S$2:$S$333,'(backend scoring)'!$A$2:$A$333,"")</f>
        <v/>
      </c>
      <c r="J226" s="216" t="str">
        <f>IFERROR(VLOOKUP($I226,'Institution Evaluation'!$A$55:$F$346,2,0),IFERROR(VLOOKUP($I226,'Privacy Analyst Evaluation'!$A$46:$F$120,2,0),""))</f>
        <v/>
      </c>
      <c r="K226" s="216" t="str">
        <f>IFERROR(VLOOKUP($I226,'Institution Evaluation'!$A$55:$F$346,3,0),IFERROR(VLOOKUP($I226,'Privacy Analyst Evaluation'!$A$46:$F$120,3,0),""))&amp;""</f>
        <v/>
      </c>
      <c r="L226" s="216" t="str">
        <f>IFERROR(VLOOKUP($I226,'Institution Evaluation'!$A$55:$F$346,4,0),IFERROR(VLOOKUP($I226,'Privacy Analyst Evaluation'!$A$46:$F$120,4,0),""))&amp;""</f>
        <v/>
      </c>
      <c r="M226" s="216" t="str">
        <f>IFERROR(VLOOKUP($I226,'Institution Evaluation'!$A$55:$F$346,6,0),IFERROR(VLOOKUP($I226,'Privacy Analyst Evaluation'!$A$46:$F$120,6,0),""))&amp;""</f>
        <v/>
      </c>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row>
    <row r="227" spans="1:338" x14ac:dyDescent="0.3">
      <c r="A227" s="216" t="str">
        <f>IFERROR(IF($A226+1&gt;'(backend scoring)'!$T$335,"",$A226+1),"")</f>
        <v/>
      </c>
      <c r="B227" s="216" t="str">
        <f>_xlfn.XLOOKUP($A227,'(backend scoring)'!$V$2:$V$333,'(backend scoring)'!$A$2:$A$333,"")</f>
        <v/>
      </c>
      <c r="C227" s="216" t="str">
        <f>IFERROR(VLOOKUP($B227,'Institution Evaluation'!$A$55:$F$346,2,0),IFERROR(VLOOKUP($B227,'Privacy Analyst Evaluation'!$A$46:$F$120,2,0),""))&amp;""</f>
        <v/>
      </c>
      <c r="D227" s="216" t="str">
        <f>IFERROR(VLOOKUP($B227,'Institution Evaluation'!$A$55:$F$346,3,0),IFERROR(VLOOKUP($B227,'Privacy Analyst Evaluation'!$A$46:$F$120,3,0),""))&amp;""</f>
        <v/>
      </c>
      <c r="E227" s="216" t="str">
        <f>IFERROR(VLOOKUP($B227,'Institution Evaluation'!$A$55:$F$346,4,0),IFERROR(VLOOKUP($B227,'Privacy Analyst Evaluation'!$A$46:$F$120,4,0),""))&amp;""</f>
        <v/>
      </c>
      <c r="F227" s="216" t="str">
        <f>IFERROR(VLOOKUP($B227,'Institution Evaluation'!$A$55:$F$346,6,0),IFERROR(VLOOKUP($B227,'Privacy Analyst Evaluation'!$A$46:$F$120,6,0),""))&amp;""</f>
        <v/>
      </c>
      <c r="G227" s="217"/>
      <c r="H227" s="216" t="str">
        <f>IFERROR(IF($H226+1&gt;'(backend scoring)'!$Q$335,"",$H226+1),"")</f>
        <v/>
      </c>
      <c r="I227" s="216" t="str">
        <f>_xlfn.XLOOKUP($H227,'(backend scoring)'!$S$2:$S$333,'(backend scoring)'!$A$2:$A$333,"")</f>
        <v/>
      </c>
      <c r="J227" s="216" t="str">
        <f>IFERROR(VLOOKUP($I227,'Institution Evaluation'!$A$55:$F$346,2,0),IFERROR(VLOOKUP($I227,'Privacy Analyst Evaluation'!$A$46:$F$120,2,0),""))</f>
        <v/>
      </c>
      <c r="K227" s="216" t="str">
        <f>IFERROR(VLOOKUP($I227,'Institution Evaluation'!$A$55:$F$346,3,0),IFERROR(VLOOKUP($I227,'Privacy Analyst Evaluation'!$A$46:$F$120,3,0),""))&amp;""</f>
        <v/>
      </c>
      <c r="L227" s="216" t="str">
        <f>IFERROR(VLOOKUP($I227,'Institution Evaluation'!$A$55:$F$346,4,0),IFERROR(VLOOKUP($I227,'Privacy Analyst Evaluation'!$A$46:$F$120,4,0),""))&amp;""</f>
        <v/>
      </c>
      <c r="M227" s="216" t="str">
        <f>IFERROR(VLOOKUP($I227,'Institution Evaluation'!$A$55:$F$346,6,0),IFERROR(VLOOKUP($I227,'Privacy Analyst Evaluation'!$A$46:$F$120,6,0),""))&amp;""</f>
        <v/>
      </c>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row>
    <row r="228" spans="1:338" x14ac:dyDescent="0.3">
      <c r="A228" s="216" t="str">
        <f>IFERROR(IF($A227+1&gt;'(backend scoring)'!$T$335,"",$A227+1),"")</f>
        <v/>
      </c>
      <c r="B228" s="216" t="str">
        <f>_xlfn.XLOOKUP($A228,'(backend scoring)'!$V$2:$V$333,'(backend scoring)'!$A$2:$A$333,"")</f>
        <v/>
      </c>
      <c r="C228" s="216" t="str">
        <f>IFERROR(VLOOKUP($B228,'Institution Evaluation'!$A$55:$F$346,2,0),IFERROR(VLOOKUP($B228,'Privacy Analyst Evaluation'!$A$46:$F$120,2,0),""))&amp;""</f>
        <v/>
      </c>
      <c r="D228" s="216" t="str">
        <f>IFERROR(VLOOKUP($B228,'Institution Evaluation'!$A$55:$F$346,3,0),IFERROR(VLOOKUP($B228,'Privacy Analyst Evaluation'!$A$46:$F$120,3,0),""))&amp;""</f>
        <v/>
      </c>
      <c r="E228" s="216" t="str">
        <f>IFERROR(VLOOKUP($B228,'Institution Evaluation'!$A$55:$F$346,4,0),IFERROR(VLOOKUP($B228,'Privacy Analyst Evaluation'!$A$46:$F$120,4,0),""))&amp;""</f>
        <v/>
      </c>
      <c r="F228" s="216" t="str">
        <f>IFERROR(VLOOKUP($B228,'Institution Evaluation'!$A$55:$F$346,6,0),IFERROR(VLOOKUP($B228,'Privacy Analyst Evaluation'!$A$46:$F$120,6,0),""))&amp;""</f>
        <v/>
      </c>
      <c r="G228" s="217"/>
      <c r="H228" s="216" t="str">
        <f>IFERROR(IF($H227+1&gt;'(backend scoring)'!$Q$335,"",$H227+1),"")</f>
        <v/>
      </c>
      <c r="I228" s="216" t="str">
        <f>_xlfn.XLOOKUP($H228,'(backend scoring)'!$S$2:$S$333,'(backend scoring)'!$A$2:$A$333,"")</f>
        <v/>
      </c>
      <c r="J228" s="216" t="str">
        <f>IFERROR(VLOOKUP($I228,'Institution Evaluation'!$A$55:$F$346,2,0),IFERROR(VLOOKUP($I228,'Privacy Analyst Evaluation'!$A$46:$F$120,2,0),""))</f>
        <v/>
      </c>
      <c r="K228" s="216" t="str">
        <f>IFERROR(VLOOKUP($I228,'Institution Evaluation'!$A$55:$F$346,3,0),IFERROR(VLOOKUP($I228,'Privacy Analyst Evaluation'!$A$46:$F$120,3,0),""))&amp;""</f>
        <v/>
      </c>
      <c r="L228" s="216" t="str">
        <f>IFERROR(VLOOKUP($I228,'Institution Evaluation'!$A$55:$F$346,4,0),IFERROR(VLOOKUP($I228,'Privacy Analyst Evaluation'!$A$46:$F$120,4,0),""))&amp;""</f>
        <v/>
      </c>
      <c r="M228" s="216" t="str">
        <f>IFERROR(VLOOKUP($I228,'Institution Evaluation'!$A$55:$F$346,6,0),IFERROR(VLOOKUP($I228,'Privacy Analyst Evaluation'!$A$46:$F$120,6,0),""))&amp;""</f>
        <v/>
      </c>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row>
    <row r="229" spans="1:338" x14ac:dyDescent="0.3">
      <c r="A229" s="216" t="str">
        <f>IFERROR(IF($A228+1&gt;'(backend scoring)'!$T$335,"",$A228+1),"")</f>
        <v/>
      </c>
      <c r="B229" s="216" t="str">
        <f>_xlfn.XLOOKUP($A229,'(backend scoring)'!$V$2:$V$333,'(backend scoring)'!$A$2:$A$333,"")</f>
        <v/>
      </c>
      <c r="C229" s="216" t="str">
        <f>IFERROR(VLOOKUP($B229,'Institution Evaluation'!$A$55:$F$346,2,0),IFERROR(VLOOKUP($B229,'Privacy Analyst Evaluation'!$A$46:$F$120,2,0),""))&amp;""</f>
        <v/>
      </c>
      <c r="D229" s="216" t="str">
        <f>IFERROR(VLOOKUP($B229,'Institution Evaluation'!$A$55:$F$346,3,0),IFERROR(VLOOKUP($B229,'Privacy Analyst Evaluation'!$A$46:$F$120,3,0),""))&amp;""</f>
        <v/>
      </c>
      <c r="E229" s="216" t="str">
        <f>IFERROR(VLOOKUP($B229,'Institution Evaluation'!$A$55:$F$346,4,0),IFERROR(VLOOKUP($B229,'Privacy Analyst Evaluation'!$A$46:$F$120,4,0),""))&amp;""</f>
        <v/>
      </c>
      <c r="F229" s="216" t="str">
        <f>IFERROR(VLOOKUP($B229,'Institution Evaluation'!$A$55:$F$346,6,0),IFERROR(VLOOKUP($B229,'Privacy Analyst Evaluation'!$A$46:$F$120,6,0),""))&amp;""</f>
        <v/>
      </c>
      <c r="G229" s="217"/>
      <c r="H229" s="216" t="str">
        <f>IFERROR(IF($H228+1&gt;'(backend scoring)'!$Q$335,"",$H228+1),"")</f>
        <v/>
      </c>
      <c r="I229" s="216" t="str">
        <f>_xlfn.XLOOKUP($H229,'(backend scoring)'!$S$2:$S$333,'(backend scoring)'!$A$2:$A$333,"")</f>
        <v/>
      </c>
      <c r="J229" s="216" t="str">
        <f>IFERROR(VLOOKUP($I229,'Institution Evaluation'!$A$55:$F$346,2,0),IFERROR(VLOOKUP($I229,'Privacy Analyst Evaluation'!$A$46:$F$120,2,0),""))</f>
        <v/>
      </c>
      <c r="K229" s="216" t="str">
        <f>IFERROR(VLOOKUP($I229,'Institution Evaluation'!$A$55:$F$346,3,0),IFERROR(VLOOKUP($I229,'Privacy Analyst Evaluation'!$A$46:$F$120,3,0),""))&amp;""</f>
        <v/>
      </c>
      <c r="L229" s="216" t="str">
        <f>IFERROR(VLOOKUP($I229,'Institution Evaluation'!$A$55:$F$346,4,0),IFERROR(VLOOKUP($I229,'Privacy Analyst Evaluation'!$A$46:$F$120,4,0),""))&amp;""</f>
        <v/>
      </c>
      <c r="M229" s="216" t="str">
        <f>IFERROR(VLOOKUP($I229,'Institution Evaluation'!$A$55:$F$346,6,0),IFERROR(VLOOKUP($I229,'Privacy Analyst Evaluation'!$A$46:$F$120,6,0),""))&amp;""</f>
        <v/>
      </c>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row>
    <row r="230" spans="1:338" x14ac:dyDescent="0.3">
      <c r="A230" s="216" t="str">
        <f>IFERROR(IF($A229+1&gt;'(backend scoring)'!$T$335,"",$A229+1),"")</f>
        <v/>
      </c>
      <c r="B230" s="216" t="str">
        <f>_xlfn.XLOOKUP($A230,'(backend scoring)'!$V$2:$V$333,'(backend scoring)'!$A$2:$A$333,"")</f>
        <v/>
      </c>
      <c r="C230" s="216" t="str">
        <f>IFERROR(VLOOKUP($B230,'Institution Evaluation'!$A$55:$F$346,2,0),IFERROR(VLOOKUP($B230,'Privacy Analyst Evaluation'!$A$46:$F$120,2,0),""))&amp;""</f>
        <v/>
      </c>
      <c r="D230" s="216" t="str">
        <f>IFERROR(VLOOKUP($B230,'Institution Evaluation'!$A$55:$F$346,3,0),IFERROR(VLOOKUP($B230,'Privacy Analyst Evaluation'!$A$46:$F$120,3,0),""))&amp;""</f>
        <v/>
      </c>
      <c r="E230" s="216" t="str">
        <f>IFERROR(VLOOKUP($B230,'Institution Evaluation'!$A$55:$F$346,4,0),IFERROR(VLOOKUP($B230,'Privacy Analyst Evaluation'!$A$46:$F$120,4,0),""))&amp;""</f>
        <v/>
      </c>
      <c r="F230" s="216" t="str">
        <f>IFERROR(VLOOKUP($B230,'Institution Evaluation'!$A$55:$F$346,6,0),IFERROR(VLOOKUP($B230,'Privacy Analyst Evaluation'!$A$46:$F$120,6,0),""))&amp;""</f>
        <v/>
      </c>
      <c r="G230" s="217"/>
      <c r="H230" s="216" t="str">
        <f>IFERROR(IF($H229+1&gt;'(backend scoring)'!$Q$335,"",$H229+1),"")</f>
        <v/>
      </c>
      <c r="I230" s="216" t="str">
        <f>_xlfn.XLOOKUP($H230,'(backend scoring)'!$S$2:$S$333,'(backend scoring)'!$A$2:$A$333,"")</f>
        <v/>
      </c>
      <c r="J230" s="216" t="str">
        <f>IFERROR(VLOOKUP($I230,'Institution Evaluation'!$A$55:$F$346,2,0),IFERROR(VLOOKUP($I230,'Privacy Analyst Evaluation'!$A$46:$F$120,2,0),""))</f>
        <v/>
      </c>
      <c r="K230" s="216" t="str">
        <f>IFERROR(VLOOKUP($I230,'Institution Evaluation'!$A$55:$F$346,3,0),IFERROR(VLOOKUP($I230,'Privacy Analyst Evaluation'!$A$46:$F$120,3,0),""))&amp;""</f>
        <v/>
      </c>
      <c r="L230" s="216" t="str">
        <f>IFERROR(VLOOKUP($I230,'Institution Evaluation'!$A$55:$F$346,4,0),IFERROR(VLOOKUP($I230,'Privacy Analyst Evaluation'!$A$46:$F$120,4,0),""))&amp;""</f>
        <v/>
      </c>
      <c r="M230" s="216" t="str">
        <f>IFERROR(VLOOKUP($I230,'Institution Evaluation'!$A$55:$F$346,6,0),IFERROR(VLOOKUP($I230,'Privacy Analyst Evaluation'!$A$46:$F$120,6,0),""))&amp;""</f>
        <v/>
      </c>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row>
    <row r="231" spans="1:338" x14ac:dyDescent="0.3">
      <c r="A231" s="216" t="str">
        <f>IFERROR(IF($A230+1&gt;'(backend scoring)'!$T$335,"",$A230+1),"")</f>
        <v/>
      </c>
      <c r="B231" s="216" t="str">
        <f>_xlfn.XLOOKUP($A231,'(backend scoring)'!$V$2:$V$333,'(backend scoring)'!$A$2:$A$333,"")</f>
        <v/>
      </c>
      <c r="C231" s="216" t="str">
        <f>IFERROR(VLOOKUP($B231,'Institution Evaluation'!$A$55:$F$346,2,0),IFERROR(VLOOKUP($B231,'Privacy Analyst Evaluation'!$A$46:$F$120,2,0),""))&amp;""</f>
        <v/>
      </c>
      <c r="D231" s="216" t="str">
        <f>IFERROR(VLOOKUP($B231,'Institution Evaluation'!$A$55:$F$346,3,0),IFERROR(VLOOKUP($B231,'Privacy Analyst Evaluation'!$A$46:$F$120,3,0),""))&amp;""</f>
        <v/>
      </c>
      <c r="E231" s="216" t="str">
        <f>IFERROR(VLOOKUP($B231,'Institution Evaluation'!$A$55:$F$346,4,0),IFERROR(VLOOKUP($B231,'Privacy Analyst Evaluation'!$A$46:$F$120,4,0),""))&amp;""</f>
        <v/>
      </c>
      <c r="F231" s="216" t="str">
        <f>IFERROR(VLOOKUP($B231,'Institution Evaluation'!$A$55:$F$346,6,0),IFERROR(VLOOKUP($B231,'Privacy Analyst Evaluation'!$A$46:$F$120,6,0),""))&amp;""</f>
        <v/>
      </c>
      <c r="G231" s="217"/>
      <c r="H231" s="216" t="str">
        <f>IFERROR(IF($H230+1&gt;'(backend scoring)'!$Q$335,"",$H230+1),"")</f>
        <v/>
      </c>
      <c r="I231" s="216" t="str">
        <f>_xlfn.XLOOKUP($H231,'(backend scoring)'!$S$2:$S$333,'(backend scoring)'!$A$2:$A$333,"")</f>
        <v/>
      </c>
      <c r="J231" s="216" t="str">
        <f>IFERROR(VLOOKUP($I231,'Institution Evaluation'!$A$55:$F$346,2,0),IFERROR(VLOOKUP($I231,'Privacy Analyst Evaluation'!$A$46:$F$120,2,0),""))</f>
        <v/>
      </c>
      <c r="K231" s="216" t="str">
        <f>IFERROR(VLOOKUP($I231,'Institution Evaluation'!$A$55:$F$346,3,0),IFERROR(VLOOKUP($I231,'Privacy Analyst Evaluation'!$A$46:$F$120,3,0),""))&amp;""</f>
        <v/>
      </c>
      <c r="L231" s="216" t="str">
        <f>IFERROR(VLOOKUP($I231,'Institution Evaluation'!$A$55:$F$346,4,0),IFERROR(VLOOKUP($I231,'Privacy Analyst Evaluation'!$A$46:$F$120,4,0),""))&amp;""</f>
        <v/>
      </c>
      <c r="M231" s="216" t="str">
        <f>IFERROR(VLOOKUP($I231,'Institution Evaluation'!$A$55:$F$346,6,0),IFERROR(VLOOKUP($I231,'Privacy Analyst Evaluation'!$A$46:$F$120,6,0),""))&amp;""</f>
        <v/>
      </c>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row>
    <row r="232" spans="1:338" x14ac:dyDescent="0.3">
      <c r="A232" s="216" t="str">
        <f>IFERROR(IF($A231+1&gt;'(backend scoring)'!$T$335,"",$A231+1),"")</f>
        <v/>
      </c>
      <c r="B232" s="216" t="str">
        <f>_xlfn.XLOOKUP($A232,'(backend scoring)'!$V$2:$V$333,'(backend scoring)'!$A$2:$A$333,"")</f>
        <v/>
      </c>
      <c r="C232" s="216" t="str">
        <f>IFERROR(VLOOKUP($B232,'Institution Evaluation'!$A$55:$F$346,2,0),IFERROR(VLOOKUP($B232,'Privacy Analyst Evaluation'!$A$46:$F$120,2,0),""))&amp;""</f>
        <v/>
      </c>
      <c r="D232" s="216" t="str">
        <f>IFERROR(VLOOKUP($B232,'Institution Evaluation'!$A$55:$F$346,3,0),IFERROR(VLOOKUP($B232,'Privacy Analyst Evaluation'!$A$46:$F$120,3,0),""))&amp;""</f>
        <v/>
      </c>
      <c r="E232" s="216" t="str">
        <f>IFERROR(VLOOKUP($B232,'Institution Evaluation'!$A$55:$F$346,4,0),IFERROR(VLOOKUP($B232,'Privacy Analyst Evaluation'!$A$46:$F$120,4,0),""))&amp;""</f>
        <v/>
      </c>
      <c r="F232" s="216" t="str">
        <f>IFERROR(VLOOKUP($B232,'Institution Evaluation'!$A$55:$F$346,6,0),IFERROR(VLOOKUP($B232,'Privacy Analyst Evaluation'!$A$46:$F$120,6,0),""))&amp;""</f>
        <v/>
      </c>
      <c r="G232" s="217"/>
      <c r="H232" s="216" t="str">
        <f>IFERROR(IF($H231+1&gt;'(backend scoring)'!$Q$335,"",$H231+1),"")</f>
        <v/>
      </c>
      <c r="I232" s="216" t="str">
        <f>_xlfn.XLOOKUP($H232,'(backend scoring)'!$S$2:$S$333,'(backend scoring)'!$A$2:$A$333,"")</f>
        <v/>
      </c>
      <c r="J232" s="216" t="str">
        <f>IFERROR(VLOOKUP($I232,'Institution Evaluation'!$A$55:$F$346,2,0),IFERROR(VLOOKUP($I232,'Privacy Analyst Evaluation'!$A$46:$F$120,2,0),""))</f>
        <v/>
      </c>
      <c r="K232" s="216" t="str">
        <f>IFERROR(VLOOKUP($I232,'Institution Evaluation'!$A$55:$F$346,3,0),IFERROR(VLOOKUP($I232,'Privacy Analyst Evaluation'!$A$46:$F$120,3,0),""))&amp;""</f>
        <v/>
      </c>
      <c r="L232" s="216" t="str">
        <f>IFERROR(VLOOKUP($I232,'Institution Evaluation'!$A$55:$F$346,4,0),IFERROR(VLOOKUP($I232,'Privacy Analyst Evaluation'!$A$46:$F$120,4,0),""))&amp;""</f>
        <v/>
      </c>
      <c r="M232" s="216" t="str">
        <f>IFERROR(VLOOKUP($I232,'Institution Evaluation'!$A$55:$F$346,6,0),IFERROR(VLOOKUP($I232,'Privacy Analyst Evaluation'!$A$46:$F$120,6,0),""))&amp;""</f>
        <v/>
      </c>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row>
    <row r="233" spans="1:338" x14ac:dyDescent="0.3">
      <c r="A233" s="216" t="str">
        <f>IFERROR(IF($A232+1&gt;'(backend scoring)'!$T$335,"",$A232+1),"")</f>
        <v/>
      </c>
      <c r="B233" s="216" t="str">
        <f>_xlfn.XLOOKUP($A233,'(backend scoring)'!$V$2:$V$333,'(backend scoring)'!$A$2:$A$333,"")</f>
        <v/>
      </c>
      <c r="C233" s="216" t="str">
        <f>IFERROR(VLOOKUP($B233,'Institution Evaluation'!$A$55:$F$346,2,0),IFERROR(VLOOKUP($B233,'Privacy Analyst Evaluation'!$A$46:$F$120,2,0),""))&amp;""</f>
        <v/>
      </c>
      <c r="D233" s="216" t="str">
        <f>IFERROR(VLOOKUP($B233,'Institution Evaluation'!$A$55:$F$346,3,0),IFERROR(VLOOKUP($B233,'Privacy Analyst Evaluation'!$A$46:$F$120,3,0),""))&amp;""</f>
        <v/>
      </c>
      <c r="E233" s="216" t="str">
        <f>IFERROR(VLOOKUP($B233,'Institution Evaluation'!$A$55:$F$346,4,0),IFERROR(VLOOKUP($B233,'Privacy Analyst Evaluation'!$A$46:$F$120,4,0),""))&amp;""</f>
        <v/>
      </c>
      <c r="F233" s="216" t="str">
        <f>IFERROR(VLOOKUP($B233,'Institution Evaluation'!$A$55:$F$346,6,0),IFERROR(VLOOKUP($B233,'Privacy Analyst Evaluation'!$A$46:$F$120,6,0),""))&amp;""</f>
        <v/>
      </c>
      <c r="G233" s="217"/>
      <c r="H233" s="216" t="str">
        <f>IFERROR(IF($H232+1&gt;'(backend scoring)'!$Q$335,"",$H232+1),"")</f>
        <v/>
      </c>
      <c r="I233" s="216" t="str">
        <f>_xlfn.XLOOKUP($H233,'(backend scoring)'!$S$2:$S$333,'(backend scoring)'!$A$2:$A$333,"")</f>
        <v/>
      </c>
      <c r="J233" s="216" t="str">
        <f>IFERROR(VLOOKUP($I233,'Institution Evaluation'!$A$55:$F$346,2,0),IFERROR(VLOOKUP($I233,'Privacy Analyst Evaluation'!$A$46:$F$120,2,0),""))</f>
        <v/>
      </c>
      <c r="K233" s="216" t="str">
        <f>IFERROR(VLOOKUP($I233,'Institution Evaluation'!$A$55:$F$346,3,0),IFERROR(VLOOKUP($I233,'Privacy Analyst Evaluation'!$A$46:$F$120,3,0),""))&amp;""</f>
        <v/>
      </c>
      <c r="L233" s="216" t="str">
        <f>IFERROR(VLOOKUP($I233,'Institution Evaluation'!$A$55:$F$346,4,0),IFERROR(VLOOKUP($I233,'Privacy Analyst Evaluation'!$A$46:$F$120,4,0),""))&amp;""</f>
        <v/>
      </c>
      <c r="M233" s="216" t="str">
        <f>IFERROR(VLOOKUP($I233,'Institution Evaluation'!$A$55:$F$346,6,0),IFERROR(VLOOKUP($I233,'Privacy Analyst Evaluation'!$A$46:$F$120,6,0),""))&amp;""</f>
        <v/>
      </c>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row>
    <row r="234" spans="1:338" x14ac:dyDescent="0.3">
      <c r="A234" s="216" t="str">
        <f>IFERROR(IF($A233+1&gt;'(backend scoring)'!$T$335,"",$A233+1),"")</f>
        <v/>
      </c>
      <c r="B234" s="216" t="str">
        <f>_xlfn.XLOOKUP($A234,'(backend scoring)'!$V$2:$V$333,'(backend scoring)'!$A$2:$A$333,"")</f>
        <v/>
      </c>
      <c r="C234" s="216" t="str">
        <f>IFERROR(VLOOKUP($B234,'Institution Evaluation'!$A$55:$F$346,2,0),IFERROR(VLOOKUP($B234,'Privacy Analyst Evaluation'!$A$46:$F$120,2,0),""))&amp;""</f>
        <v/>
      </c>
      <c r="D234" s="216" t="str">
        <f>IFERROR(VLOOKUP($B234,'Institution Evaluation'!$A$55:$F$346,3,0),IFERROR(VLOOKUP($B234,'Privacy Analyst Evaluation'!$A$46:$F$120,3,0),""))&amp;""</f>
        <v/>
      </c>
      <c r="E234" s="216" t="str">
        <f>IFERROR(VLOOKUP($B234,'Institution Evaluation'!$A$55:$F$346,4,0),IFERROR(VLOOKUP($B234,'Privacy Analyst Evaluation'!$A$46:$F$120,4,0),""))&amp;""</f>
        <v/>
      </c>
      <c r="F234" s="216" t="str">
        <f>IFERROR(VLOOKUP($B234,'Institution Evaluation'!$A$55:$F$346,6,0),IFERROR(VLOOKUP($B234,'Privacy Analyst Evaluation'!$A$46:$F$120,6,0),""))&amp;""</f>
        <v/>
      </c>
      <c r="G234" s="217"/>
      <c r="H234" s="216" t="str">
        <f>IFERROR(IF($H233+1&gt;'(backend scoring)'!$Q$335,"",$H233+1),"")</f>
        <v/>
      </c>
      <c r="I234" s="216" t="str">
        <f>_xlfn.XLOOKUP($H234,'(backend scoring)'!$S$2:$S$333,'(backend scoring)'!$A$2:$A$333,"")</f>
        <v/>
      </c>
      <c r="J234" s="216" t="str">
        <f>IFERROR(VLOOKUP($I234,'Institution Evaluation'!$A$55:$F$346,2,0),IFERROR(VLOOKUP($I234,'Privacy Analyst Evaluation'!$A$46:$F$120,2,0),""))</f>
        <v/>
      </c>
      <c r="K234" s="216" t="str">
        <f>IFERROR(VLOOKUP($I234,'Institution Evaluation'!$A$55:$F$346,3,0),IFERROR(VLOOKUP($I234,'Privacy Analyst Evaluation'!$A$46:$F$120,3,0),""))&amp;""</f>
        <v/>
      </c>
      <c r="L234" s="216" t="str">
        <f>IFERROR(VLOOKUP($I234,'Institution Evaluation'!$A$55:$F$346,4,0),IFERROR(VLOOKUP($I234,'Privacy Analyst Evaluation'!$A$46:$F$120,4,0),""))&amp;""</f>
        <v/>
      </c>
      <c r="M234" s="216" t="str">
        <f>IFERROR(VLOOKUP($I234,'Institution Evaluation'!$A$55:$F$346,6,0),IFERROR(VLOOKUP($I234,'Privacy Analyst Evaluation'!$A$46:$F$120,6,0),""))&amp;""</f>
        <v/>
      </c>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row>
    <row r="235" spans="1:338" x14ac:dyDescent="0.3">
      <c r="A235" s="216" t="str">
        <f>IFERROR(IF($A234+1&gt;'(backend scoring)'!$T$335,"",$A234+1),"")</f>
        <v/>
      </c>
      <c r="B235" s="216" t="str">
        <f>_xlfn.XLOOKUP($A235,'(backend scoring)'!$V$2:$V$333,'(backend scoring)'!$A$2:$A$333,"")</f>
        <v/>
      </c>
      <c r="C235" s="216" t="str">
        <f>IFERROR(VLOOKUP($B235,'Institution Evaluation'!$A$55:$F$346,2,0),IFERROR(VLOOKUP($B235,'Privacy Analyst Evaluation'!$A$46:$F$120,2,0),""))&amp;""</f>
        <v/>
      </c>
      <c r="D235" s="216" t="str">
        <f>IFERROR(VLOOKUP($B235,'Institution Evaluation'!$A$55:$F$346,3,0),IFERROR(VLOOKUP($B235,'Privacy Analyst Evaluation'!$A$46:$F$120,3,0),""))&amp;""</f>
        <v/>
      </c>
      <c r="E235" s="216" t="str">
        <f>IFERROR(VLOOKUP($B235,'Institution Evaluation'!$A$55:$F$346,4,0),IFERROR(VLOOKUP($B235,'Privacy Analyst Evaluation'!$A$46:$F$120,4,0),""))&amp;""</f>
        <v/>
      </c>
      <c r="F235" s="216" t="str">
        <f>IFERROR(VLOOKUP($B235,'Institution Evaluation'!$A$55:$F$346,6,0),IFERROR(VLOOKUP($B235,'Privacy Analyst Evaluation'!$A$46:$F$120,6,0),""))&amp;""</f>
        <v/>
      </c>
      <c r="G235" s="217"/>
      <c r="H235" s="216" t="str">
        <f>IFERROR(IF($H234+1&gt;'(backend scoring)'!$Q$335,"",$H234+1),"")</f>
        <v/>
      </c>
      <c r="I235" s="216" t="str">
        <f>_xlfn.XLOOKUP($H235,'(backend scoring)'!$S$2:$S$333,'(backend scoring)'!$A$2:$A$333,"")</f>
        <v/>
      </c>
      <c r="J235" s="216" t="str">
        <f>IFERROR(VLOOKUP($I235,'Institution Evaluation'!$A$55:$F$346,2,0),IFERROR(VLOOKUP($I235,'Privacy Analyst Evaluation'!$A$46:$F$120,2,0),""))</f>
        <v/>
      </c>
      <c r="K235" s="216" t="str">
        <f>IFERROR(VLOOKUP($I235,'Institution Evaluation'!$A$55:$F$346,3,0),IFERROR(VLOOKUP($I235,'Privacy Analyst Evaluation'!$A$46:$F$120,3,0),""))&amp;""</f>
        <v/>
      </c>
      <c r="L235" s="216" t="str">
        <f>IFERROR(VLOOKUP($I235,'Institution Evaluation'!$A$55:$F$346,4,0),IFERROR(VLOOKUP($I235,'Privacy Analyst Evaluation'!$A$46:$F$120,4,0),""))&amp;""</f>
        <v/>
      </c>
      <c r="M235" s="216" t="str">
        <f>IFERROR(VLOOKUP($I235,'Institution Evaluation'!$A$55:$F$346,6,0),IFERROR(VLOOKUP($I235,'Privacy Analyst Evaluation'!$A$46:$F$120,6,0),""))&amp;""</f>
        <v/>
      </c>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row>
    <row r="236" spans="1:338" x14ac:dyDescent="0.3">
      <c r="A236" s="216" t="str">
        <f>IFERROR(IF($A235+1&gt;'(backend scoring)'!$T$335,"",$A235+1),"")</f>
        <v/>
      </c>
      <c r="B236" s="216" t="str">
        <f>_xlfn.XLOOKUP($A236,'(backend scoring)'!$V$2:$V$333,'(backend scoring)'!$A$2:$A$333,"")</f>
        <v/>
      </c>
      <c r="C236" s="216" t="str">
        <f>IFERROR(VLOOKUP($B236,'Institution Evaluation'!$A$55:$F$346,2,0),IFERROR(VLOOKUP($B236,'Privacy Analyst Evaluation'!$A$46:$F$120,2,0),""))&amp;""</f>
        <v/>
      </c>
      <c r="D236" s="216" t="str">
        <f>IFERROR(VLOOKUP($B236,'Institution Evaluation'!$A$55:$F$346,3,0),IFERROR(VLOOKUP($B236,'Privacy Analyst Evaluation'!$A$46:$F$120,3,0),""))&amp;""</f>
        <v/>
      </c>
      <c r="E236" s="216" t="str">
        <f>IFERROR(VLOOKUP($B236,'Institution Evaluation'!$A$55:$F$346,4,0),IFERROR(VLOOKUP($B236,'Privacy Analyst Evaluation'!$A$46:$F$120,4,0),""))&amp;""</f>
        <v/>
      </c>
      <c r="F236" s="216" t="str">
        <f>IFERROR(VLOOKUP($B236,'Institution Evaluation'!$A$55:$F$346,6,0),IFERROR(VLOOKUP($B236,'Privacy Analyst Evaluation'!$A$46:$F$120,6,0),""))&amp;""</f>
        <v/>
      </c>
      <c r="G236" s="217"/>
      <c r="H236" s="216" t="str">
        <f>IFERROR(IF($H235+1&gt;'(backend scoring)'!$Q$335,"",$H235+1),"")</f>
        <v/>
      </c>
      <c r="I236" s="216" t="str">
        <f>_xlfn.XLOOKUP($H236,'(backend scoring)'!$S$2:$S$333,'(backend scoring)'!$A$2:$A$333,"")</f>
        <v/>
      </c>
      <c r="J236" s="216" t="str">
        <f>IFERROR(VLOOKUP($I236,'Institution Evaluation'!$A$55:$F$346,2,0),IFERROR(VLOOKUP($I236,'Privacy Analyst Evaluation'!$A$46:$F$120,2,0),""))</f>
        <v/>
      </c>
      <c r="K236" s="216" t="str">
        <f>IFERROR(VLOOKUP($I236,'Institution Evaluation'!$A$55:$F$346,3,0),IFERROR(VLOOKUP($I236,'Privacy Analyst Evaluation'!$A$46:$F$120,3,0),""))&amp;""</f>
        <v/>
      </c>
      <c r="L236" s="216" t="str">
        <f>IFERROR(VLOOKUP($I236,'Institution Evaluation'!$A$55:$F$346,4,0),IFERROR(VLOOKUP($I236,'Privacy Analyst Evaluation'!$A$46:$F$120,4,0),""))&amp;""</f>
        <v/>
      </c>
      <c r="M236" s="216" t="str">
        <f>IFERROR(VLOOKUP($I236,'Institution Evaluation'!$A$55:$F$346,6,0),IFERROR(VLOOKUP($I236,'Privacy Analyst Evaluation'!$A$46:$F$120,6,0),""))&amp;""</f>
        <v/>
      </c>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row>
    <row r="237" spans="1:338" x14ac:dyDescent="0.3">
      <c r="A237" s="216" t="str">
        <f>IFERROR(IF($A236+1&gt;'(backend scoring)'!$T$335,"",$A236+1),"")</f>
        <v/>
      </c>
      <c r="B237" s="216" t="str">
        <f>_xlfn.XLOOKUP($A237,'(backend scoring)'!$V$2:$V$333,'(backend scoring)'!$A$2:$A$333,"")</f>
        <v/>
      </c>
      <c r="C237" s="216" t="str">
        <f>IFERROR(VLOOKUP($B237,'Institution Evaluation'!$A$55:$F$346,2,0),IFERROR(VLOOKUP($B237,'Privacy Analyst Evaluation'!$A$46:$F$120,2,0),""))&amp;""</f>
        <v/>
      </c>
      <c r="D237" s="216" t="str">
        <f>IFERROR(VLOOKUP($B237,'Institution Evaluation'!$A$55:$F$346,3,0),IFERROR(VLOOKUP($B237,'Privacy Analyst Evaluation'!$A$46:$F$120,3,0),""))&amp;""</f>
        <v/>
      </c>
      <c r="E237" s="216" t="str">
        <f>IFERROR(VLOOKUP($B237,'Institution Evaluation'!$A$55:$F$346,4,0),IFERROR(VLOOKUP($B237,'Privacy Analyst Evaluation'!$A$46:$F$120,4,0),""))&amp;""</f>
        <v/>
      </c>
      <c r="F237" s="216" t="str">
        <f>IFERROR(VLOOKUP($B237,'Institution Evaluation'!$A$55:$F$346,6,0),IFERROR(VLOOKUP($B237,'Privacy Analyst Evaluation'!$A$46:$F$120,6,0),""))&amp;""</f>
        <v/>
      </c>
      <c r="G237" s="217"/>
      <c r="H237" s="216" t="str">
        <f>IFERROR(IF($H236+1&gt;'(backend scoring)'!$Q$335,"",$H236+1),"")</f>
        <v/>
      </c>
      <c r="I237" s="216" t="str">
        <f>_xlfn.XLOOKUP($H237,'(backend scoring)'!$S$2:$S$333,'(backend scoring)'!$A$2:$A$333,"")</f>
        <v/>
      </c>
      <c r="J237" s="216" t="str">
        <f>IFERROR(VLOOKUP($I237,'Institution Evaluation'!$A$55:$F$346,2,0),IFERROR(VLOOKUP($I237,'Privacy Analyst Evaluation'!$A$46:$F$120,2,0),""))</f>
        <v/>
      </c>
      <c r="K237" s="216" t="str">
        <f>IFERROR(VLOOKUP($I237,'Institution Evaluation'!$A$55:$F$346,3,0),IFERROR(VLOOKUP($I237,'Privacy Analyst Evaluation'!$A$46:$F$120,3,0),""))&amp;""</f>
        <v/>
      </c>
      <c r="L237" s="216" t="str">
        <f>IFERROR(VLOOKUP($I237,'Institution Evaluation'!$A$55:$F$346,4,0),IFERROR(VLOOKUP($I237,'Privacy Analyst Evaluation'!$A$46:$F$120,4,0),""))&amp;""</f>
        <v/>
      </c>
      <c r="M237" s="216" t="str">
        <f>IFERROR(VLOOKUP($I237,'Institution Evaluation'!$A$55:$F$346,6,0),IFERROR(VLOOKUP($I237,'Privacy Analyst Evaluation'!$A$46:$F$120,6,0),""))&amp;""</f>
        <v/>
      </c>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row>
    <row r="238" spans="1:338" x14ac:dyDescent="0.3">
      <c r="A238" s="216" t="str">
        <f>IFERROR(IF($A237+1&gt;'(backend scoring)'!$T$335,"",$A237+1),"")</f>
        <v/>
      </c>
      <c r="B238" s="216" t="str">
        <f>_xlfn.XLOOKUP($A238,'(backend scoring)'!$V$2:$V$333,'(backend scoring)'!$A$2:$A$333,"")</f>
        <v/>
      </c>
      <c r="C238" s="216" t="str">
        <f>IFERROR(VLOOKUP($B238,'Institution Evaluation'!$A$55:$F$346,2,0),IFERROR(VLOOKUP($B238,'Privacy Analyst Evaluation'!$A$46:$F$120,2,0),""))&amp;""</f>
        <v/>
      </c>
      <c r="D238" s="216" t="str">
        <f>IFERROR(VLOOKUP($B238,'Institution Evaluation'!$A$55:$F$346,3,0),IFERROR(VLOOKUP($B238,'Privacy Analyst Evaluation'!$A$46:$F$120,3,0),""))&amp;""</f>
        <v/>
      </c>
      <c r="E238" s="216" t="str">
        <f>IFERROR(VLOOKUP($B238,'Institution Evaluation'!$A$55:$F$346,4,0),IFERROR(VLOOKUP($B238,'Privacy Analyst Evaluation'!$A$46:$F$120,4,0),""))&amp;""</f>
        <v/>
      </c>
      <c r="F238" s="216" t="str">
        <f>IFERROR(VLOOKUP($B238,'Institution Evaluation'!$A$55:$F$346,6,0),IFERROR(VLOOKUP($B238,'Privacy Analyst Evaluation'!$A$46:$F$120,6,0),""))&amp;""</f>
        <v/>
      </c>
      <c r="G238" s="217"/>
      <c r="H238" s="216" t="str">
        <f>IFERROR(IF($H237+1&gt;'(backend scoring)'!$Q$335,"",$H237+1),"")</f>
        <v/>
      </c>
      <c r="I238" s="216" t="str">
        <f>_xlfn.XLOOKUP($H238,'(backend scoring)'!$S$2:$S$333,'(backend scoring)'!$A$2:$A$333,"")</f>
        <v/>
      </c>
      <c r="J238" s="216" t="str">
        <f>IFERROR(VLOOKUP($I238,'Institution Evaluation'!$A$55:$F$346,2,0),IFERROR(VLOOKUP($I238,'Privacy Analyst Evaluation'!$A$46:$F$120,2,0),""))</f>
        <v/>
      </c>
      <c r="K238" s="216" t="str">
        <f>IFERROR(VLOOKUP($I238,'Institution Evaluation'!$A$55:$F$346,3,0),IFERROR(VLOOKUP($I238,'Privacy Analyst Evaluation'!$A$46:$F$120,3,0),""))&amp;""</f>
        <v/>
      </c>
      <c r="L238" s="216" t="str">
        <f>IFERROR(VLOOKUP($I238,'Institution Evaluation'!$A$55:$F$346,4,0),IFERROR(VLOOKUP($I238,'Privacy Analyst Evaluation'!$A$46:$F$120,4,0),""))&amp;""</f>
        <v/>
      </c>
      <c r="M238" s="216" t="str">
        <f>IFERROR(VLOOKUP($I238,'Institution Evaluation'!$A$55:$F$346,6,0),IFERROR(VLOOKUP($I238,'Privacy Analyst Evaluation'!$A$46:$F$120,6,0),""))&amp;""</f>
        <v/>
      </c>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row>
    <row r="239" spans="1:338" x14ac:dyDescent="0.3">
      <c r="A239" s="216" t="str">
        <f>IFERROR(IF($A238+1&gt;'(backend scoring)'!$T$335,"",$A238+1),"")</f>
        <v/>
      </c>
      <c r="B239" s="216" t="str">
        <f>_xlfn.XLOOKUP($A239,'(backend scoring)'!$V$2:$V$333,'(backend scoring)'!$A$2:$A$333,"")</f>
        <v/>
      </c>
      <c r="C239" s="216" t="str">
        <f>IFERROR(VLOOKUP($B239,'Institution Evaluation'!$A$55:$F$346,2,0),IFERROR(VLOOKUP($B239,'Privacy Analyst Evaluation'!$A$46:$F$120,2,0),""))&amp;""</f>
        <v/>
      </c>
      <c r="D239" s="216" t="str">
        <f>IFERROR(VLOOKUP($B239,'Institution Evaluation'!$A$55:$F$346,3,0),IFERROR(VLOOKUP($B239,'Privacy Analyst Evaluation'!$A$46:$F$120,3,0),""))&amp;""</f>
        <v/>
      </c>
      <c r="E239" s="216" t="str">
        <f>IFERROR(VLOOKUP($B239,'Institution Evaluation'!$A$55:$F$346,4,0),IFERROR(VLOOKUP($B239,'Privacy Analyst Evaluation'!$A$46:$F$120,4,0),""))&amp;""</f>
        <v/>
      </c>
      <c r="F239" s="216" t="str">
        <f>IFERROR(VLOOKUP($B239,'Institution Evaluation'!$A$55:$F$346,6,0),IFERROR(VLOOKUP($B239,'Privacy Analyst Evaluation'!$A$46:$F$120,6,0),""))&amp;""</f>
        <v/>
      </c>
      <c r="G239" s="217"/>
      <c r="H239" s="216" t="str">
        <f>IFERROR(IF($H238+1&gt;'(backend scoring)'!$Q$335,"",$H238+1),"")</f>
        <v/>
      </c>
      <c r="I239" s="216" t="str">
        <f>_xlfn.XLOOKUP($H239,'(backend scoring)'!$S$2:$S$333,'(backend scoring)'!$A$2:$A$333,"")</f>
        <v/>
      </c>
      <c r="J239" s="216" t="str">
        <f>IFERROR(VLOOKUP($I239,'Institution Evaluation'!$A$55:$F$346,2,0),IFERROR(VLOOKUP($I239,'Privacy Analyst Evaluation'!$A$46:$F$120,2,0),""))</f>
        <v/>
      </c>
      <c r="K239" s="216" t="str">
        <f>IFERROR(VLOOKUP($I239,'Institution Evaluation'!$A$55:$F$346,3,0),IFERROR(VLOOKUP($I239,'Privacy Analyst Evaluation'!$A$46:$F$120,3,0),""))&amp;""</f>
        <v/>
      </c>
      <c r="L239" s="216" t="str">
        <f>IFERROR(VLOOKUP($I239,'Institution Evaluation'!$A$55:$F$346,4,0),IFERROR(VLOOKUP($I239,'Privacy Analyst Evaluation'!$A$46:$F$120,4,0),""))&amp;""</f>
        <v/>
      </c>
      <c r="M239" s="216" t="str">
        <f>IFERROR(VLOOKUP($I239,'Institution Evaluation'!$A$55:$F$346,6,0),IFERROR(VLOOKUP($I239,'Privacy Analyst Evaluation'!$A$46:$F$120,6,0),""))&amp;""</f>
        <v/>
      </c>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row>
    <row r="240" spans="1:338" x14ac:dyDescent="0.3">
      <c r="A240" s="216" t="str">
        <f>IFERROR(IF($A239+1&gt;'(backend scoring)'!$T$335,"",$A239+1),"")</f>
        <v/>
      </c>
      <c r="B240" s="216" t="str">
        <f>_xlfn.XLOOKUP($A240,'(backend scoring)'!$V$2:$V$333,'(backend scoring)'!$A$2:$A$333,"")</f>
        <v/>
      </c>
      <c r="C240" s="216" t="str">
        <f>IFERROR(VLOOKUP($B240,'Institution Evaluation'!$A$55:$F$346,2,0),IFERROR(VLOOKUP($B240,'Privacy Analyst Evaluation'!$A$46:$F$120,2,0),""))&amp;""</f>
        <v/>
      </c>
      <c r="D240" s="216" t="str">
        <f>IFERROR(VLOOKUP($B240,'Institution Evaluation'!$A$55:$F$346,3,0),IFERROR(VLOOKUP($B240,'Privacy Analyst Evaluation'!$A$46:$F$120,3,0),""))&amp;""</f>
        <v/>
      </c>
      <c r="E240" s="216" t="str">
        <f>IFERROR(VLOOKUP($B240,'Institution Evaluation'!$A$55:$F$346,4,0),IFERROR(VLOOKUP($B240,'Privacy Analyst Evaluation'!$A$46:$F$120,4,0),""))&amp;""</f>
        <v/>
      </c>
      <c r="F240" s="216" t="str">
        <f>IFERROR(VLOOKUP($B240,'Institution Evaluation'!$A$55:$F$346,6,0),IFERROR(VLOOKUP($B240,'Privacy Analyst Evaluation'!$A$46:$F$120,6,0),""))&amp;""</f>
        <v/>
      </c>
      <c r="G240" s="217"/>
      <c r="H240" s="216" t="str">
        <f>IFERROR(IF($H239+1&gt;'(backend scoring)'!$Q$335,"",$H239+1),"")</f>
        <v/>
      </c>
      <c r="I240" s="216" t="str">
        <f>_xlfn.XLOOKUP($H240,'(backend scoring)'!$S$2:$S$333,'(backend scoring)'!$A$2:$A$333,"")</f>
        <v/>
      </c>
      <c r="J240" s="216" t="str">
        <f>IFERROR(VLOOKUP($I240,'Institution Evaluation'!$A$55:$F$346,2,0),IFERROR(VLOOKUP($I240,'Privacy Analyst Evaluation'!$A$46:$F$120,2,0),""))</f>
        <v/>
      </c>
      <c r="K240" s="216" t="str">
        <f>IFERROR(VLOOKUP($I240,'Institution Evaluation'!$A$55:$F$346,3,0),IFERROR(VLOOKUP($I240,'Privacy Analyst Evaluation'!$A$46:$F$120,3,0),""))&amp;""</f>
        <v/>
      </c>
      <c r="L240" s="216" t="str">
        <f>IFERROR(VLOOKUP($I240,'Institution Evaluation'!$A$55:$F$346,4,0),IFERROR(VLOOKUP($I240,'Privacy Analyst Evaluation'!$A$46:$F$120,4,0),""))&amp;""</f>
        <v/>
      </c>
      <c r="M240" s="216" t="str">
        <f>IFERROR(VLOOKUP($I240,'Institution Evaluation'!$A$55:$F$346,6,0),IFERROR(VLOOKUP($I240,'Privacy Analyst Evaluation'!$A$46:$F$120,6,0),""))&amp;""</f>
        <v/>
      </c>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row>
    <row r="241" spans="1:338" x14ac:dyDescent="0.3">
      <c r="A241" s="216" t="str">
        <f>IFERROR(IF($A240+1&gt;'(backend scoring)'!$T$335,"",$A240+1),"")</f>
        <v/>
      </c>
      <c r="B241" s="216" t="str">
        <f>_xlfn.XLOOKUP($A241,'(backend scoring)'!$V$2:$V$333,'(backend scoring)'!$A$2:$A$333,"")</f>
        <v/>
      </c>
      <c r="C241" s="216" t="str">
        <f>IFERROR(VLOOKUP($B241,'Institution Evaluation'!$A$55:$F$346,2,0),IFERROR(VLOOKUP($B241,'Privacy Analyst Evaluation'!$A$46:$F$120,2,0),""))&amp;""</f>
        <v/>
      </c>
      <c r="D241" s="216" t="str">
        <f>IFERROR(VLOOKUP($B241,'Institution Evaluation'!$A$55:$F$346,3,0),IFERROR(VLOOKUP($B241,'Privacy Analyst Evaluation'!$A$46:$F$120,3,0),""))&amp;""</f>
        <v/>
      </c>
      <c r="E241" s="216" t="str">
        <f>IFERROR(VLOOKUP($B241,'Institution Evaluation'!$A$55:$F$346,4,0),IFERROR(VLOOKUP($B241,'Privacy Analyst Evaluation'!$A$46:$F$120,4,0),""))&amp;""</f>
        <v/>
      </c>
      <c r="F241" s="216" t="str">
        <f>IFERROR(VLOOKUP($B241,'Institution Evaluation'!$A$55:$F$346,6,0),IFERROR(VLOOKUP($B241,'Privacy Analyst Evaluation'!$A$46:$F$120,6,0),""))&amp;""</f>
        <v/>
      </c>
      <c r="G241" s="217"/>
      <c r="H241" s="216" t="str">
        <f>IFERROR(IF($H240+1&gt;'(backend scoring)'!$Q$335,"",$H240+1),"")</f>
        <v/>
      </c>
      <c r="I241" s="216" t="str">
        <f>_xlfn.XLOOKUP($H241,'(backend scoring)'!$S$2:$S$333,'(backend scoring)'!$A$2:$A$333,"")</f>
        <v/>
      </c>
      <c r="J241" s="216" t="str">
        <f>IFERROR(VLOOKUP($I241,'Institution Evaluation'!$A$55:$F$346,2,0),IFERROR(VLOOKUP($I241,'Privacy Analyst Evaluation'!$A$46:$F$120,2,0),""))</f>
        <v/>
      </c>
      <c r="K241" s="216" t="str">
        <f>IFERROR(VLOOKUP($I241,'Institution Evaluation'!$A$55:$F$346,3,0),IFERROR(VLOOKUP($I241,'Privacy Analyst Evaluation'!$A$46:$F$120,3,0),""))&amp;""</f>
        <v/>
      </c>
      <c r="L241" s="216" t="str">
        <f>IFERROR(VLOOKUP($I241,'Institution Evaluation'!$A$55:$F$346,4,0),IFERROR(VLOOKUP($I241,'Privacy Analyst Evaluation'!$A$46:$F$120,4,0),""))&amp;""</f>
        <v/>
      </c>
      <c r="M241" s="216" t="str">
        <f>IFERROR(VLOOKUP($I241,'Institution Evaluation'!$A$55:$F$346,6,0),IFERROR(VLOOKUP($I241,'Privacy Analyst Evaluation'!$A$46:$F$120,6,0),""))&amp;""</f>
        <v/>
      </c>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row>
    <row r="242" spans="1:338" x14ac:dyDescent="0.3">
      <c r="A242" s="216" t="str">
        <f>IFERROR(IF($A241+1&gt;'(backend scoring)'!$T$335,"",$A241+1),"")</f>
        <v/>
      </c>
      <c r="B242" s="216" t="str">
        <f>_xlfn.XLOOKUP($A242,'(backend scoring)'!$V$2:$V$333,'(backend scoring)'!$A$2:$A$333,"")</f>
        <v/>
      </c>
      <c r="C242" s="216" t="str">
        <f>IFERROR(VLOOKUP($B242,'Institution Evaluation'!$A$55:$F$346,2,0),IFERROR(VLOOKUP($B242,'Privacy Analyst Evaluation'!$A$46:$F$120,2,0),""))&amp;""</f>
        <v/>
      </c>
      <c r="D242" s="216" t="str">
        <f>IFERROR(VLOOKUP($B242,'Institution Evaluation'!$A$55:$F$346,3,0),IFERROR(VLOOKUP($B242,'Privacy Analyst Evaluation'!$A$46:$F$120,3,0),""))&amp;""</f>
        <v/>
      </c>
      <c r="E242" s="216" t="str">
        <f>IFERROR(VLOOKUP($B242,'Institution Evaluation'!$A$55:$F$346,4,0),IFERROR(VLOOKUP($B242,'Privacy Analyst Evaluation'!$A$46:$F$120,4,0),""))&amp;""</f>
        <v/>
      </c>
      <c r="F242" s="216" t="str">
        <f>IFERROR(VLOOKUP($B242,'Institution Evaluation'!$A$55:$F$346,6,0),IFERROR(VLOOKUP($B242,'Privacy Analyst Evaluation'!$A$46:$F$120,6,0),""))&amp;""</f>
        <v/>
      </c>
      <c r="G242" s="217"/>
      <c r="H242" s="216" t="str">
        <f>IFERROR(IF($H241+1&gt;'(backend scoring)'!$Q$335,"",$H241+1),"")</f>
        <v/>
      </c>
      <c r="I242" s="216" t="str">
        <f>_xlfn.XLOOKUP($H242,'(backend scoring)'!$S$2:$S$333,'(backend scoring)'!$A$2:$A$333,"")</f>
        <v/>
      </c>
      <c r="J242" s="216" t="str">
        <f>IFERROR(VLOOKUP($I242,'Institution Evaluation'!$A$55:$F$346,2,0),IFERROR(VLOOKUP($I242,'Privacy Analyst Evaluation'!$A$46:$F$120,2,0),""))</f>
        <v/>
      </c>
      <c r="K242" s="216" t="str">
        <f>IFERROR(VLOOKUP($I242,'Institution Evaluation'!$A$55:$F$346,3,0),IFERROR(VLOOKUP($I242,'Privacy Analyst Evaluation'!$A$46:$F$120,3,0),""))&amp;""</f>
        <v/>
      </c>
      <c r="L242" s="216" t="str">
        <f>IFERROR(VLOOKUP($I242,'Institution Evaluation'!$A$55:$F$346,4,0),IFERROR(VLOOKUP($I242,'Privacy Analyst Evaluation'!$A$46:$F$120,4,0),""))&amp;""</f>
        <v/>
      </c>
      <c r="M242" s="216" t="str">
        <f>IFERROR(VLOOKUP($I242,'Institution Evaluation'!$A$55:$F$346,6,0),IFERROR(VLOOKUP($I242,'Privacy Analyst Evaluation'!$A$46:$F$120,6,0),""))&amp;""</f>
        <v/>
      </c>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row>
    <row r="243" spans="1:338" x14ac:dyDescent="0.3">
      <c r="A243" s="216" t="str">
        <f>IFERROR(IF($A242+1&gt;'(backend scoring)'!$T$335,"",$A242+1),"")</f>
        <v/>
      </c>
      <c r="B243" s="216" t="str">
        <f>_xlfn.XLOOKUP($A243,'(backend scoring)'!$V$2:$V$333,'(backend scoring)'!$A$2:$A$333,"")</f>
        <v/>
      </c>
      <c r="C243" s="216" t="str">
        <f>IFERROR(VLOOKUP($B243,'Institution Evaluation'!$A$55:$F$346,2,0),IFERROR(VLOOKUP($B243,'Privacy Analyst Evaluation'!$A$46:$F$120,2,0),""))&amp;""</f>
        <v/>
      </c>
      <c r="D243" s="216" t="str">
        <f>IFERROR(VLOOKUP($B243,'Institution Evaluation'!$A$55:$F$346,3,0),IFERROR(VLOOKUP($B243,'Privacy Analyst Evaluation'!$A$46:$F$120,3,0),""))&amp;""</f>
        <v/>
      </c>
      <c r="E243" s="216" t="str">
        <f>IFERROR(VLOOKUP($B243,'Institution Evaluation'!$A$55:$F$346,4,0),IFERROR(VLOOKUP($B243,'Privacy Analyst Evaluation'!$A$46:$F$120,4,0),""))&amp;""</f>
        <v/>
      </c>
      <c r="F243" s="216" t="str">
        <f>IFERROR(VLOOKUP($B243,'Institution Evaluation'!$A$55:$F$346,6,0),IFERROR(VLOOKUP($B243,'Privacy Analyst Evaluation'!$A$46:$F$120,6,0),""))&amp;""</f>
        <v/>
      </c>
      <c r="G243" s="217"/>
      <c r="H243" s="216" t="str">
        <f>IFERROR(IF($H242+1&gt;'(backend scoring)'!$Q$335,"",$H242+1),"")</f>
        <v/>
      </c>
      <c r="I243" s="216" t="str">
        <f>_xlfn.XLOOKUP($H243,'(backend scoring)'!$S$2:$S$333,'(backend scoring)'!$A$2:$A$333,"")</f>
        <v/>
      </c>
      <c r="J243" s="216" t="str">
        <f>IFERROR(VLOOKUP($I243,'Institution Evaluation'!$A$55:$F$346,2,0),IFERROR(VLOOKUP($I243,'Privacy Analyst Evaluation'!$A$46:$F$120,2,0),""))</f>
        <v/>
      </c>
      <c r="K243" s="216" t="str">
        <f>IFERROR(VLOOKUP($I243,'Institution Evaluation'!$A$55:$F$346,3,0),IFERROR(VLOOKUP($I243,'Privacy Analyst Evaluation'!$A$46:$F$120,3,0),""))&amp;""</f>
        <v/>
      </c>
      <c r="L243" s="216" t="str">
        <f>IFERROR(VLOOKUP($I243,'Institution Evaluation'!$A$55:$F$346,4,0),IFERROR(VLOOKUP($I243,'Privacy Analyst Evaluation'!$A$46:$F$120,4,0),""))&amp;""</f>
        <v/>
      </c>
      <c r="M243" s="216" t="str">
        <f>IFERROR(VLOOKUP($I243,'Institution Evaluation'!$A$55:$F$346,6,0),IFERROR(VLOOKUP($I243,'Privacy Analyst Evaluation'!$A$46:$F$120,6,0),""))&amp;""</f>
        <v/>
      </c>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row>
    <row r="244" spans="1:338" x14ac:dyDescent="0.3">
      <c r="A244" s="216" t="str">
        <f>IFERROR(IF($A243+1&gt;'(backend scoring)'!$T$335,"",$A243+1),"")</f>
        <v/>
      </c>
      <c r="B244" s="216" t="str">
        <f>_xlfn.XLOOKUP($A244,'(backend scoring)'!$V$2:$V$333,'(backend scoring)'!$A$2:$A$333,"")</f>
        <v/>
      </c>
      <c r="C244" s="216" t="str">
        <f>IFERROR(VLOOKUP($B244,'Institution Evaluation'!$A$55:$F$346,2,0),IFERROR(VLOOKUP($B244,'Privacy Analyst Evaluation'!$A$46:$F$120,2,0),""))&amp;""</f>
        <v/>
      </c>
      <c r="D244" s="216" t="str">
        <f>IFERROR(VLOOKUP($B244,'Institution Evaluation'!$A$55:$F$346,3,0),IFERROR(VLOOKUP($B244,'Privacy Analyst Evaluation'!$A$46:$F$120,3,0),""))&amp;""</f>
        <v/>
      </c>
      <c r="E244" s="216" t="str">
        <f>IFERROR(VLOOKUP($B244,'Institution Evaluation'!$A$55:$F$346,4,0),IFERROR(VLOOKUP($B244,'Privacy Analyst Evaluation'!$A$46:$F$120,4,0),""))&amp;""</f>
        <v/>
      </c>
      <c r="F244" s="216" t="str">
        <f>IFERROR(VLOOKUP($B244,'Institution Evaluation'!$A$55:$F$346,6,0),IFERROR(VLOOKUP($B244,'Privacy Analyst Evaluation'!$A$46:$F$120,6,0),""))&amp;""</f>
        <v/>
      </c>
      <c r="G244" s="217"/>
      <c r="H244" s="216" t="str">
        <f>IFERROR(IF($H243+1&gt;'(backend scoring)'!$Q$335,"",$H243+1),"")</f>
        <v/>
      </c>
      <c r="I244" s="216" t="str">
        <f>_xlfn.XLOOKUP($H244,'(backend scoring)'!$S$2:$S$333,'(backend scoring)'!$A$2:$A$333,"")</f>
        <v/>
      </c>
      <c r="J244" s="216" t="str">
        <f>IFERROR(VLOOKUP($I244,'Institution Evaluation'!$A$55:$F$346,2,0),IFERROR(VLOOKUP($I244,'Privacy Analyst Evaluation'!$A$46:$F$120,2,0),""))</f>
        <v/>
      </c>
      <c r="K244" s="216" t="str">
        <f>IFERROR(VLOOKUP($I244,'Institution Evaluation'!$A$55:$F$346,3,0),IFERROR(VLOOKUP($I244,'Privacy Analyst Evaluation'!$A$46:$F$120,3,0),""))&amp;""</f>
        <v/>
      </c>
      <c r="L244" s="216" t="str">
        <f>IFERROR(VLOOKUP($I244,'Institution Evaluation'!$A$55:$F$346,4,0),IFERROR(VLOOKUP($I244,'Privacy Analyst Evaluation'!$A$46:$F$120,4,0),""))&amp;""</f>
        <v/>
      </c>
      <c r="M244" s="216" t="str">
        <f>IFERROR(VLOOKUP($I244,'Institution Evaluation'!$A$55:$F$346,6,0),IFERROR(VLOOKUP($I244,'Privacy Analyst Evaluation'!$A$46:$F$120,6,0),""))&amp;""</f>
        <v/>
      </c>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row>
    <row r="245" spans="1:338" x14ac:dyDescent="0.3">
      <c r="A245" s="216" t="str">
        <f>IFERROR(IF($A244+1&gt;'(backend scoring)'!$T$335,"",$A244+1),"")</f>
        <v/>
      </c>
      <c r="B245" s="216" t="str">
        <f>_xlfn.XLOOKUP($A245,'(backend scoring)'!$V$2:$V$333,'(backend scoring)'!$A$2:$A$333,"")</f>
        <v/>
      </c>
      <c r="C245" s="216" t="str">
        <f>IFERROR(VLOOKUP($B245,'Institution Evaluation'!$A$55:$F$346,2,0),IFERROR(VLOOKUP($B245,'Privacy Analyst Evaluation'!$A$46:$F$120,2,0),""))&amp;""</f>
        <v/>
      </c>
      <c r="D245" s="216" t="str">
        <f>IFERROR(VLOOKUP($B245,'Institution Evaluation'!$A$55:$F$346,3,0),IFERROR(VLOOKUP($B245,'Privacy Analyst Evaluation'!$A$46:$F$120,3,0),""))&amp;""</f>
        <v/>
      </c>
      <c r="E245" s="216" t="str">
        <f>IFERROR(VLOOKUP($B245,'Institution Evaluation'!$A$55:$F$346,4,0),IFERROR(VLOOKUP($B245,'Privacy Analyst Evaluation'!$A$46:$F$120,4,0),""))&amp;""</f>
        <v/>
      </c>
      <c r="F245" s="216" t="str">
        <f>IFERROR(VLOOKUP($B245,'Institution Evaluation'!$A$55:$F$346,6,0),IFERROR(VLOOKUP($B245,'Privacy Analyst Evaluation'!$A$46:$F$120,6,0),""))&amp;""</f>
        <v/>
      </c>
      <c r="G245" s="217"/>
      <c r="H245" s="216" t="str">
        <f>IFERROR(IF($H244+1&gt;'(backend scoring)'!$Q$335,"",$H244+1),"")</f>
        <v/>
      </c>
      <c r="I245" s="216" t="str">
        <f>_xlfn.XLOOKUP($H245,'(backend scoring)'!$S$2:$S$333,'(backend scoring)'!$A$2:$A$333,"")</f>
        <v/>
      </c>
      <c r="J245" s="216" t="str">
        <f>IFERROR(VLOOKUP($I245,'Institution Evaluation'!$A$55:$F$346,2,0),IFERROR(VLOOKUP($I245,'Privacy Analyst Evaluation'!$A$46:$F$120,2,0),""))</f>
        <v/>
      </c>
      <c r="K245" s="216" t="str">
        <f>IFERROR(VLOOKUP($I245,'Institution Evaluation'!$A$55:$F$346,3,0),IFERROR(VLOOKUP($I245,'Privacy Analyst Evaluation'!$A$46:$F$120,3,0),""))&amp;""</f>
        <v/>
      </c>
      <c r="L245" s="216" t="str">
        <f>IFERROR(VLOOKUP($I245,'Institution Evaluation'!$A$55:$F$346,4,0),IFERROR(VLOOKUP($I245,'Privacy Analyst Evaluation'!$A$46:$F$120,4,0),""))&amp;""</f>
        <v/>
      </c>
      <c r="M245" s="216" t="str">
        <f>IFERROR(VLOOKUP($I245,'Institution Evaluation'!$A$55:$F$346,6,0),IFERROR(VLOOKUP($I245,'Privacy Analyst Evaluation'!$A$46:$F$120,6,0),""))&amp;""</f>
        <v/>
      </c>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row>
    <row r="246" spans="1:338" x14ac:dyDescent="0.3">
      <c r="A246" s="216" t="str">
        <f>IFERROR(IF($A245+1&gt;'(backend scoring)'!$T$335,"",$A245+1),"")</f>
        <v/>
      </c>
      <c r="B246" s="216" t="str">
        <f>_xlfn.XLOOKUP($A246,'(backend scoring)'!$V$2:$V$333,'(backend scoring)'!$A$2:$A$333,"")</f>
        <v/>
      </c>
      <c r="C246" s="216" t="str">
        <f>IFERROR(VLOOKUP($B246,'Institution Evaluation'!$A$55:$F$346,2,0),IFERROR(VLOOKUP($B246,'Privacy Analyst Evaluation'!$A$46:$F$120,2,0),""))&amp;""</f>
        <v/>
      </c>
      <c r="D246" s="216" t="str">
        <f>IFERROR(VLOOKUP($B246,'Institution Evaluation'!$A$55:$F$346,3,0),IFERROR(VLOOKUP($B246,'Privacy Analyst Evaluation'!$A$46:$F$120,3,0),""))&amp;""</f>
        <v/>
      </c>
      <c r="E246" s="216" t="str">
        <f>IFERROR(VLOOKUP($B246,'Institution Evaluation'!$A$55:$F$346,4,0),IFERROR(VLOOKUP($B246,'Privacy Analyst Evaluation'!$A$46:$F$120,4,0),""))&amp;""</f>
        <v/>
      </c>
      <c r="F246" s="216" t="str">
        <f>IFERROR(VLOOKUP($B246,'Institution Evaluation'!$A$55:$F$346,6,0),IFERROR(VLOOKUP($B246,'Privacy Analyst Evaluation'!$A$46:$F$120,6,0),""))&amp;""</f>
        <v/>
      </c>
      <c r="G246" s="217"/>
      <c r="H246" s="216" t="str">
        <f>IFERROR(IF($H245+1&gt;'(backend scoring)'!$Q$335,"",$H245+1),"")</f>
        <v/>
      </c>
      <c r="I246" s="216" t="str">
        <f>_xlfn.XLOOKUP($H246,'(backend scoring)'!$S$2:$S$333,'(backend scoring)'!$A$2:$A$333,"")</f>
        <v/>
      </c>
      <c r="J246" s="216" t="str">
        <f>IFERROR(VLOOKUP($I246,'Institution Evaluation'!$A$55:$F$346,2,0),IFERROR(VLOOKUP($I246,'Privacy Analyst Evaluation'!$A$46:$F$120,2,0),""))</f>
        <v/>
      </c>
      <c r="K246" s="216" t="str">
        <f>IFERROR(VLOOKUP($I246,'Institution Evaluation'!$A$55:$F$346,3,0),IFERROR(VLOOKUP($I246,'Privacy Analyst Evaluation'!$A$46:$F$120,3,0),""))&amp;""</f>
        <v/>
      </c>
      <c r="L246" s="216" t="str">
        <f>IFERROR(VLOOKUP($I246,'Institution Evaluation'!$A$55:$F$346,4,0),IFERROR(VLOOKUP($I246,'Privacy Analyst Evaluation'!$A$46:$F$120,4,0),""))&amp;""</f>
        <v/>
      </c>
      <c r="M246" s="216" t="str">
        <f>IFERROR(VLOOKUP($I246,'Institution Evaluation'!$A$55:$F$346,6,0),IFERROR(VLOOKUP($I246,'Privacy Analyst Evaluation'!$A$46:$F$120,6,0),""))&amp;""</f>
        <v/>
      </c>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row>
    <row r="247" spans="1:338" x14ac:dyDescent="0.3">
      <c r="A247" s="216" t="str">
        <f>IFERROR(IF($A246+1&gt;'(backend scoring)'!$T$335,"",$A246+1),"")</f>
        <v/>
      </c>
      <c r="B247" s="216" t="str">
        <f>_xlfn.XLOOKUP($A247,'(backend scoring)'!$V$2:$V$333,'(backend scoring)'!$A$2:$A$333,"")</f>
        <v/>
      </c>
      <c r="C247" s="216" t="str">
        <f>IFERROR(VLOOKUP($B247,'Institution Evaluation'!$A$55:$F$346,2,0),IFERROR(VLOOKUP($B247,'Privacy Analyst Evaluation'!$A$46:$F$120,2,0),""))&amp;""</f>
        <v/>
      </c>
      <c r="D247" s="216" t="str">
        <f>IFERROR(VLOOKUP($B247,'Institution Evaluation'!$A$55:$F$346,3,0),IFERROR(VLOOKUP($B247,'Privacy Analyst Evaluation'!$A$46:$F$120,3,0),""))&amp;""</f>
        <v/>
      </c>
      <c r="E247" s="216" t="str">
        <f>IFERROR(VLOOKUP($B247,'Institution Evaluation'!$A$55:$F$346,4,0),IFERROR(VLOOKUP($B247,'Privacy Analyst Evaluation'!$A$46:$F$120,4,0),""))&amp;""</f>
        <v/>
      </c>
      <c r="F247" s="216" t="str">
        <f>IFERROR(VLOOKUP($B247,'Institution Evaluation'!$A$55:$F$346,6,0),IFERROR(VLOOKUP($B247,'Privacy Analyst Evaluation'!$A$46:$F$120,6,0),""))&amp;""</f>
        <v/>
      </c>
      <c r="G247" s="217"/>
      <c r="H247" s="216" t="str">
        <f>IFERROR(IF($H246+1&gt;'(backend scoring)'!$Q$335,"",$H246+1),"")</f>
        <v/>
      </c>
      <c r="I247" s="216" t="str">
        <f>_xlfn.XLOOKUP($H247,'(backend scoring)'!$S$2:$S$333,'(backend scoring)'!$A$2:$A$333,"")</f>
        <v/>
      </c>
      <c r="J247" s="216" t="str">
        <f>IFERROR(VLOOKUP($I247,'Institution Evaluation'!$A$55:$F$346,2,0),IFERROR(VLOOKUP($I247,'Privacy Analyst Evaluation'!$A$46:$F$120,2,0),""))</f>
        <v/>
      </c>
      <c r="K247" s="216" t="str">
        <f>IFERROR(VLOOKUP($I247,'Institution Evaluation'!$A$55:$F$346,3,0),IFERROR(VLOOKUP($I247,'Privacy Analyst Evaluation'!$A$46:$F$120,3,0),""))&amp;""</f>
        <v/>
      </c>
      <c r="L247" s="216" t="str">
        <f>IFERROR(VLOOKUP($I247,'Institution Evaluation'!$A$55:$F$346,4,0),IFERROR(VLOOKUP($I247,'Privacy Analyst Evaluation'!$A$46:$F$120,4,0),""))&amp;""</f>
        <v/>
      </c>
      <c r="M247" s="216" t="str">
        <f>IFERROR(VLOOKUP($I247,'Institution Evaluation'!$A$55:$F$346,6,0),IFERROR(VLOOKUP($I247,'Privacy Analyst Evaluation'!$A$46:$F$120,6,0),""))&amp;""</f>
        <v/>
      </c>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row>
    <row r="248" spans="1:338" x14ac:dyDescent="0.3">
      <c r="A248" s="216" t="str">
        <f>IFERROR(IF($A247+1&gt;'(backend scoring)'!$T$335,"",$A247+1),"")</f>
        <v/>
      </c>
      <c r="B248" s="216" t="str">
        <f>_xlfn.XLOOKUP($A248,'(backend scoring)'!$V$2:$V$333,'(backend scoring)'!$A$2:$A$333,"")</f>
        <v/>
      </c>
      <c r="C248" s="216" t="str">
        <f>IFERROR(VLOOKUP($B248,'Institution Evaluation'!$A$55:$F$346,2,0),IFERROR(VLOOKUP($B248,'Privacy Analyst Evaluation'!$A$46:$F$120,2,0),""))&amp;""</f>
        <v/>
      </c>
      <c r="D248" s="216" t="str">
        <f>IFERROR(VLOOKUP($B248,'Institution Evaluation'!$A$55:$F$346,3,0),IFERROR(VLOOKUP($B248,'Privacy Analyst Evaluation'!$A$46:$F$120,3,0),""))&amp;""</f>
        <v/>
      </c>
      <c r="E248" s="216" t="str">
        <f>IFERROR(VLOOKUP($B248,'Institution Evaluation'!$A$55:$F$346,4,0),IFERROR(VLOOKUP($B248,'Privacy Analyst Evaluation'!$A$46:$F$120,4,0),""))&amp;""</f>
        <v/>
      </c>
      <c r="F248" s="216" t="str">
        <f>IFERROR(VLOOKUP($B248,'Institution Evaluation'!$A$55:$F$346,6,0),IFERROR(VLOOKUP($B248,'Privacy Analyst Evaluation'!$A$46:$F$120,6,0),""))&amp;""</f>
        <v/>
      </c>
      <c r="G248" s="217"/>
      <c r="H248" s="216" t="str">
        <f>IFERROR(IF($H247+1&gt;'(backend scoring)'!$Q$335,"",$H247+1),"")</f>
        <v/>
      </c>
      <c r="I248" s="216" t="str">
        <f>_xlfn.XLOOKUP($H248,'(backend scoring)'!$S$2:$S$333,'(backend scoring)'!$A$2:$A$333,"")</f>
        <v/>
      </c>
      <c r="J248" s="216" t="str">
        <f>IFERROR(VLOOKUP($I248,'Institution Evaluation'!$A$55:$F$346,2,0),IFERROR(VLOOKUP($I248,'Privacy Analyst Evaluation'!$A$46:$F$120,2,0),""))</f>
        <v/>
      </c>
      <c r="K248" s="216" t="str">
        <f>IFERROR(VLOOKUP($I248,'Institution Evaluation'!$A$55:$F$346,3,0),IFERROR(VLOOKUP($I248,'Privacy Analyst Evaluation'!$A$46:$F$120,3,0),""))&amp;""</f>
        <v/>
      </c>
      <c r="L248" s="216" t="str">
        <f>IFERROR(VLOOKUP($I248,'Institution Evaluation'!$A$55:$F$346,4,0),IFERROR(VLOOKUP($I248,'Privacy Analyst Evaluation'!$A$46:$F$120,4,0),""))&amp;""</f>
        <v/>
      </c>
      <c r="M248" s="216" t="str">
        <f>IFERROR(VLOOKUP($I248,'Institution Evaluation'!$A$55:$F$346,6,0),IFERROR(VLOOKUP($I248,'Privacy Analyst Evaluation'!$A$46:$F$120,6,0),""))&amp;""</f>
        <v/>
      </c>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row>
    <row r="249" spans="1:338" x14ac:dyDescent="0.3">
      <c r="A249" s="216" t="str">
        <f>IFERROR(IF($A248+1&gt;'(backend scoring)'!$T$335,"",$A248+1),"")</f>
        <v/>
      </c>
      <c r="B249" s="216" t="str">
        <f>_xlfn.XLOOKUP($A249,'(backend scoring)'!$V$2:$V$333,'(backend scoring)'!$A$2:$A$333,"")</f>
        <v/>
      </c>
      <c r="C249" s="216" t="str">
        <f>IFERROR(VLOOKUP($B249,'Institution Evaluation'!$A$55:$F$346,2,0),IFERROR(VLOOKUP($B249,'Privacy Analyst Evaluation'!$A$46:$F$120,2,0),""))&amp;""</f>
        <v/>
      </c>
      <c r="D249" s="216" t="str">
        <f>IFERROR(VLOOKUP($B249,'Institution Evaluation'!$A$55:$F$346,3,0),IFERROR(VLOOKUP($B249,'Privacy Analyst Evaluation'!$A$46:$F$120,3,0),""))&amp;""</f>
        <v/>
      </c>
      <c r="E249" s="216" t="str">
        <f>IFERROR(VLOOKUP($B249,'Institution Evaluation'!$A$55:$F$346,4,0),IFERROR(VLOOKUP($B249,'Privacy Analyst Evaluation'!$A$46:$F$120,4,0),""))&amp;""</f>
        <v/>
      </c>
      <c r="F249" s="216" t="str">
        <f>IFERROR(VLOOKUP($B249,'Institution Evaluation'!$A$55:$F$346,6,0),IFERROR(VLOOKUP($B249,'Privacy Analyst Evaluation'!$A$46:$F$120,6,0),""))&amp;""</f>
        <v/>
      </c>
      <c r="G249" s="217"/>
      <c r="H249" s="216" t="str">
        <f>IFERROR(IF($H248+1&gt;'(backend scoring)'!$Q$335,"",$H248+1),"")</f>
        <v/>
      </c>
      <c r="I249" s="216" t="str">
        <f>_xlfn.XLOOKUP($H249,'(backend scoring)'!$S$2:$S$333,'(backend scoring)'!$A$2:$A$333,"")</f>
        <v/>
      </c>
      <c r="J249" s="216" t="str">
        <f>IFERROR(VLOOKUP($I249,'Institution Evaluation'!$A$55:$F$346,2,0),IFERROR(VLOOKUP($I249,'Privacy Analyst Evaluation'!$A$46:$F$120,2,0),""))</f>
        <v/>
      </c>
      <c r="K249" s="216" t="str">
        <f>IFERROR(VLOOKUP($I249,'Institution Evaluation'!$A$55:$F$346,3,0),IFERROR(VLOOKUP($I249,'Privacy Analyst Evaluation'!$A$46:$F$120,3,0),""))&amp;""</f>
        <v/>
      </c>
      <c r="L249" s="216" t="str">
        <f>IFERROR(VLOOKUP($I249,'Institution Evaluation'!$A$55:$F$346,4,0),IFERROR(VLOOKUP($I249,'Privacy Analyst Evaluation'!$A$46:$F$120,4,0),""))&amp;""</f>
        <v/>
      </c>
      <c r="M249" s="216" t="str">
        <f>IFERROR(VLOOKUP($I249,'Institution Evaluation'!$A$55:$F$346,6,0),IFERROR(VLOOKUP($I249,'Privacy Analyst Evaluation'!$A$46:$F$120,6,0),""))&amp;""</f>
        <v/>
      </c>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row>
    <row r="250" spans="1:338" x14ac:dyDescent="0.3">
      <c r="A250" s="216" t="str">
        <f>IFERROR(IF($A249+1&gt;'(backend scoring)'!$T$335,"",$A249+1),"")</f>
        <v/>
      </c>
      <c r="B250" s="216" t="str">
        <f>_xlfn.XLOOKUP($A250,'(backend scoring)'!$V$2:$V$333,'(backend scoring)'!$A$2:$A$333,"")</f>
        <v/>
      </c>
      <c r="C250" s="216" t="str">
        <f>IFERROR(VLOOKUP($B250,'Institution Evaluation'!$A$55:$F$346,2,0),IFERROR(VLOOKUP($B250,'Privacy Analyst Evaluation'!$A$46:$F$120,2,0),""))&amp;""</f>
        <v/>
      </c>
      <c r="D250" s="216" t="str">
        <f>IFERROR(VLOOKUP($B250,'Institution Evaluation'!$A$55:$F$346,3,0),IFERROR(VLOOKUP($B250,'Privacy Analyst Evaluation'!$A$46:$F$120,3,0),""))&amp;""</f>
        <v/>
      </c>
      <c r="E250" s="216" t="str">
        <f>IFERROR(VLOOKUP($B250,'Institution Evaluation'!$A$55:$F$346,4,0),IFERROR(VLOOKUP($B250,'Privacy Analyst Evaluation'!$A$46:$F$120,4,0),""))&amp;""</f>
        <v/>
      </c>
      <c r="F250" s="216" t="str">
        <f>IFERROR(VLOOKUP($B250,'Institution Evaluation'!$A$55:$F$346,6,0),IFERROR(VLOOKUP($B250,'Privacy Analyst Evaluation'!$A$46:$F$120,6,0),""))&amp;""</f>
        <v/>
      </c>
      <c r="G250" s="217"/>
      <c r="H250" s="216" t="str">
        <f>IFERROR(IF($H249+1&gt;'(backend scoring)'!$Q$335,"",$H249+1),"")</f>
        <v/>
      </c>
      <c r="I250" s="216" t="str">
        <f>_xlfn.XLOOKUP($H250,'(backend scoring)'!$S$2:$S$333,'(backend scoring)'!$A$2:$A$333,"")</f>
        <v/>
      </c>
      <c r="J250" s="216" t="str">
        <f>IFERROR(VLOOKUP($I250,'Institution Evaluation'!$A$55:$F$346,2,0),IFERROR(VLOOKUP($I250,'Privacy Analyst Evaluation'!$A$46:$F$120,2,0),""))</f>
        <v/>
      </c>
      <c r="K250" s="216" t="str">
        <f>IFERROR(VLOOKUP($I250,'Institution Evaluation'!$A$55:$F$346,3,0),IFERROR(VLOOKUP($I250,'Privacy Analyst Evaluation'!$A$46:$F$120,3,0),""))&amp;""</f>
        <v/>
      </c>
      <c r="L250" s="216" t="str">
        <f>IFERROR(VLOOKUP($I250,'Institution Evaluation'!$A$55:$F$346,4,0),IFERROR(VLOOKUP($I250,'Privacy Analyst Evaluation'!$A$46:$F$120,4,0),""))&amp;""</f>
        <v/>
      </c>
      <c r="M250" s="216" t="str">
        <f>IFERROR(VLOOKUP($I250,'Institution Evaluation'!$A$55:$F$346,6,0),IFERROR(VLOOKUP($I250,'Privacy Analyst Evaluation'!$A$46:$F$120,6,0),""))&amp;""</f>
        <v/>
      </c>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row>
    <row r="251" spans="1:338" x14ac:dyDescent="0.3">
      <c r="A251" s="216" t="str">
        <f>IFERROR(IF($A250+1&gt;'(backend scoring)'!$T$335,"",$A250+1),"")</f>
        <v/>
      </c>
      <c r="B251" s="216" t="str">
        <f>_xlfn.XLOOKUP($A251,'(backend scoring)'!$V$2:$V$333,'(backend scoring)'!$A$2:$A$333,"")</f>
        <v/>
      </c>
      <c r="C251" s="216" t="str">
        <f>IFERROR(VLOOKUP($B251,'Institution Evaluation'!$A$55:$F$346,2,0),IFERROR(VLOOKUP($B251,'Privacy Analyst Evaluation'!$A$46:$F$120,2,0),""))&amp;""</f>
        <v/>
      </c>
      <c r="D251" s="216" t="str">
        <f>IFERROR(VLOOKUP($B251,'Institution Evaluation'!$A$55:$F$346,3,0),IFERROR(VLOOKUP($B251,'Privacy Analyst Evaluation'!$A$46:$F$120,3,0),""))&amp;""</f>
        <v/>
      </c>
      <c r="E251" s="216" t="str">
        <f>IFERROR(VLOOKUP($B251,'Institution Evaluation'!$A$55:$F$346,4,0),IFERROR(VLOOKUP($B251,'Privacy Analyst Evaluation'!$A$46:$F$120,4,0),""))&amp;""</f>
        <v/>
      </c>
      <c r="F251" s="216" t="str">
        <f>IFERROR(VLOOKUP($B251,'Institution Evaluation'!$A$55:$F$346,6,0),IFERROR(VLOOKUP($B251,'Privacy Analyst Evaluation'!$A$46:$F$120,6,0),""))&amp;""</f>
        <v/>
      </c>
      <c r="G251" s="217"/>
      <c r="H251" s="216" t="str">
        <f>IFERROR(IF($H250+1&gt;'(backend scoring)'!$Q$335,"",$H250+1),"")</f>
        <v/>
      </c>
      <c r="I251" s="216" t="str">
        <f>_xlfn.XLOOKUP($H251,'(backend scoring)'!$S$2:$S$333,'(backend scoring)'!$A$2:$A$333,"")</f>
        <v/>
      </c>
      <c r="J251" s="216" t="str">
        <f>IFERROR(VLOOKUP($I251,'Institution Evaluation'!$A$55:$F$346,2,0),IFERROR(VLOOKUP($I251,'Privacy Analyst Evaluation'!$A$46:$F$120,2,0),""))</f>
        <v/>
      </c>
      <c r="K251" s="216" t="str">
        <f>IFERROR(VLOOKUP($I251,'Institution Evaluation'!$A$55:$F$346,3,0),IFERROR(VLOOKUP($I251,'Privacy Analyst Evaluation'!$A$46:$F$120,3,0),""))&amp;""</f>
        <v/>
      </c>
      <c r="L251" s="216" t="str">
        <f>IFERROR(VLOOKUP($I251,'Institution Evaluation'!$A$55:$F$346,4,0),IFERROR(VLOOKUP($I251,'Privacy Analyst Evaluation'!$A$46:$F$120,4,0),""))&amp;""</f>
        <v/>
      </c>
      <c r="M251" s="216" t="str">
        <f>IFERROR(VLOOKUP($I251,'Institution Evaluation'!$A$55:$F$346,6,0),IFERROR(VLOOKUP($I251,'Privacy Analyst Evaluation'!$A$46:$F$120,6,0),""))&amp;""</f>
        <v/>
      </c>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row>
    <row r="252" spans="1:338" x14ac:dyDescent="0.3">
      <c r="A252" s="216" t="str">
        <f>IFERROR(IF($A251+1&gt;'(backend scoring)'!$T$335,"",$A251+1),"")</f>
        <v/>
      </c>
      <c r="B252" s="216" t="str">
        <f>_xlfn.XLOOKUP($A252,'(backend scoring)'!$V$2:$V$333,'(backend scoring)'!$A$2:$A$333,"")</f>
        <v/>
      </c>
      <c r="C252" s="216" t="str">
        <f>IFERROR(VLOOKUP($B252,'Institution Evaluation'!$A$55:$F$346,2,0),IFERROR(VLOOKUP($B252,'Privacy Analyst Evaluation'!$A$46:$F$120,2,0),""))&amp;""</f>
        <v/>
      </c>
      <c r="D252" s="216" t="str">
        <f>IFERROR(VLOOKUP($B252,'Institution Evaluation'!$A$55:$F$346,3,0),IFERROR(VLOOKUP($B252,'Privacy Analyst Evaluation'!$A$46:$F$120,3,0),""))&amp;""</f>
        <v/>
      </c>
      <c r="E252" s="216" t="str">
        <f>IFERROR(VLOOKUP($B252,'Institution Evaluation'!$A$55:$F$346,4,0),IFERROR(VLOOKUP($B252,'Privacy Analyst Evaluation'!$A$46:$F$120,4,0),""))&amp;""</f>
        <v/>
      </c>
      <c r="F252" s="216" t="str">
        <f>IFERROR(VLOOKUP($B252,'Institution Evaluation'!$A$55:$F$346,6,0),IFERROR(VLOOKUP($B252,'Privacy Analyst Evaluation'!$A$46:$F$120,6,0),""))&amp;""</f>
        <v/>
      </c>
      <c r="G252" s="217"/>
      <c r="H252" s="216" t="str">
        <f>IFERROR(IF($H251+1&gt;'(backend scoring)'!$Q$335,"",$H251+1),"")</f>
        <v/>
      </c>
      <c r="I252" s="216" t="str">
        <f>_xlfn.XLOOKUP($H252,'(backend scoring)'!$S$2:$S$333,'(backend scoring)'!$A$2:$A$333,"")</f>
        <v/>
      </c>
      <c r="J252" s="216" t="str">
        <f>IFERROR(VLOOKUP($I252,'Institution Evaluation'!$A$55:$F$346,2,0),IFERROR(VLOOKUP($I252,'Privacy Analyst Evaluation'!$A$46:$F$120,2,0),""))</f>
        <v/>
      </c>
      <c r="K252" s="216" t="str">
        <f>IFERROR(VLOOKUP($I252,'Institution Evaluation'!$A$55:$F$346,3,0),IFERROR(VLOOKUP($I252,'Privacy Analyst Evaluation'!$A$46:$F$120,3,0),""))&amp;""</f>
        <v/>
      </c>
      <c r="L252" s="216" t="str">
        <f>IFERROR(VLOOKUP($I252,'Institution Evaluation'!$A$55:$F$346,4,0),IFERROR(VLOOKUP($I252,'Privacy Analyst Evaluation'!$A$46:$F$120,4,0),""))&amp;""</f>
        <v/>
      </c>
      <c r="M252" s="216" t="str">
        <f>IFERROR(VLOOKUP($I252,'Institution Evaluation'!$A$55:$F$346,6,0),IFERROR(VLOOKUP($I252,'Privacy Analyst Evaluation'!$A$46:$F$120,6,0),""))&amp;""</f>
        <v/>
      </c>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row>
    <row r="253" spans="1:338" x14ac:dyDescent="0.3">
      <c r="A253" s="216" t="str">
        <f>IFERROR(IF($A252+1&gt;'(backend scoring)'!$T$335,"",$A252+1),"")</f>
        <v/>
      </c>
      <c r="B253" s="216" t="str">
        <f>_xlfn.XLOOKUP($A253,'(backend scoring)'!$V$2:$V$333,'(backend scoring)'!$A$2:$A$333,"")</f>
        <v/>
      </c>
      <c r="C253" s="216" t="str">
        <f>IFERROR(VLOOKUP($B253,'Institution Evaluation'!$A$55:$F$346,2,0),IFERROR(VLOOKUP($B253,'Privacy Analyst Evaluation'!$A$46:$F$120,2,0),""))&amp;""</f>
        <v/>
      </c>
      <c r="D253" s="216" t="str">
        <f>IFERROR(VLOOKUP($B253,'Institution Evaluation'!$A$55:$F$346,3,0),IFERROR(VLOOKUP($B253,'Privacy Analyst Evaluation'!$A$46:$F$120,3,0),""))&amp;""</f>
        <v/>
      </c>
      <c r="E253" s="216" t="str">
        <f>IFERROR(VLOOKUP($B253,'Institution Evaluation'!$A$55:$F$346,4,0),IFERROR(VLOOKUP($B253,'Privacy Analyst Evaluation'!$A$46:$F$120,4,0),""))&amp;""</f>
        <v/>
      </c>
      <c r="F253" s="216" t="str">
        <f>IFERROR(VLOOKUP($B253,'Institution Evaluation'!$A$55:$F$346,6,0),IFERROR(VLOOKUP($B253,'Privacy Analyst Evaluation'!$A$46:$F$120,6,0),""))&amp;""</f>
        <v/>
      </c>
      <c r="G253" s="217"/>
      <c r="H253" s="216" t="str">
        <f>IFERROR(IF($H252+1&gt;'(backend scoring)'!$Q$335,"",$H252+1),"")</f>
        <v/>
      </c>
      <c r="I253" s="216" t="str">
        <f>_xlfn.XLOOKUP($H253,'(backend scoring)'!$S$2:$S$333,'(backend scoring)'!$A$2:$A$333,"")</f>
        <v/>
      </c>
      <c r="J253" s="216" t="str">
        <f>IFERROR(VLOOKUP($I253,'Institution Evaluation'!$A$55:$F$346,2,0),IFERROR(VLOOKUP($I253,'Privacy Analyst Evaluation'!$A$46:$F$120,2,0),""))</f>
        <v/>
      </c>
      <c r="K253" s="216" t="str">
        <f>IFERROR(VLOOKUP($I253,'Institution Evaluation'!$A$55:$F$346,3,0),IFERROR(VLOOKUP($I253,'Privacy Analyst Evaluation'!$A$46:$F$120,3,0),""))&amp;""</f>
        <v/>
      </c>
      <c r="L253" s="216" t="str">
        <f>IFERROR(VLOOKUP($I253,'Institution Evaluation'!$A$55:$F$346,4,0),IFERROR(VLOOKUP($I253,'Privacy Analyst Evaluation'!$A$46:$F$120,4,0),""))&amp;""</f>
        <v/>
      </c>
      <c r="M253" s="216" t="str">
        <f>IFERROR(VLOOKUP($I253,'Institution Evaluation'!$A$55:$F$346,6,0),IFERROR(VLOOKUP($I253,'Privacy Analyst Evaluation'!$A$46:$F$120,6,0),""))&amp;""</f>
        <v/>
      </c>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row>
    <row r="254" spans="1:338" x14ac:dyDescent="0.3">
      <c r="A254" s="216" t="str">
        <f>IFERROR(IF($A253+1&gt;'(backend scoring)'!$T$335,"",$A253+1),"")</f>
        <v/>
      </c>
      <c r="B254" s="216" t="str">
        <f>_xlfn.XLOOKUP($A254,'(backend scoring)'!$V$2:$V$333,'(backend scoring)'!$A$2:$A$333,"")</f>
        <v/>
      </c>
      <c r="C254" s="216" t="str">
        <f>IFERROR(VLOOKUP($B254,'Institution Evaluation'!$A$55:$F$346,2,0),IFERROR(VLOOKUP($B254,'Privacy Analyst Evaluation'!$A$46:$F$120,2,0),""))&amp;""</f>
        <v/>
      </c>
      <c r="D254" s="216" t="str">
        <f>IFERROR(VLOOKUP($B254,'Institution Evaluation'!$A$55:$F$346,3,0),IFERROR(VLOOKUP($B254,'Privacy Analyst Evaluation'!$A$46:$F$120,3,0),""))&amp;""</f>
        <v/>
      </c>
      <c r="E254" s="216" t="str">
        <f>IFERROR(VLOOKUP($B254,'Institution Evaluation'!$A$55:$F$346,4,0),IFERROR(VLOOKUP($B254,'Privacy Analyst Evaluation'!$A$46:$F$120,4,0),""))&amp;""</f>
        <v/>
      </c>
      <c r="F254" s="216" t="str">
        <f>IFERROR(VLOOKUP($B254,'Institution Evaluation'!$A$55:$F$346,6,0),IFERROR(VLOOKUP($B254,'Privacy Analyst Evaluation'!$A$46:$F$120,6,0),""))&amp;""</f>
        <v/>
      </c>
      <c r="G254" s="217"/>
      <c r="H254" s="216" t="str">
        <f>IFERROR(IF($H253+1&gt;'(backend scoring)'!$Q$335,"",$H253+1),"")</f>
        <v/>
      </c>
      <c r="I254" s="216" t="str">
        <f>_xlfn.XLOOKUP($H254,'(backend scoring)'!$S$2:$S$333,'(backend scoring)'!$A$2:$A$333,"")</f>
        <v/>
      </c>
      <c r="J254" s="216" t="str">
        <f>IFERROR(VLOOKUP($I254,'Institution Evaluation'!$A$55:$F$346,2,0),IFERROR(VLOOKUP($I254,'Privacy Analyst Evaluation'!$A$46:$F$120,2,0),""))</f>
        <v/>
      </c>
      <c r="K254" s="216" t="str">
        <f>IFERROR(VLOOKUP($I254,'Institution Evaluation'!$A$55:$F$346,3,0),IFERROR(VLOOKUP($I254,'Privacy Analyst Evaluation'!$A$46:$F$120,3,0),""))&amp;""</f>
        <v/>
      </c>
      <c r="L254" s="216" t="str">
        <f>IFERROR(VLOOKUP($I254,'Institution Evaluation'!$A$55:$F$346,4,0),IFERROR(VLOOKUP($I254,'Privacy Analyst Evaluation'!$A$46:$F$120,4,0),""))&amp;""</f>
        <v/>
      </c>
      <c r="M254" s="216" t="str">
        <f>IFERROR(VLOOKUP($I254,'Institution Evaluation'!$A$55:$F$346,6,0),IFERROR(VLOOKUP($I254,'Privacy Analyst Evaluation'!$A$46:$F$120,6,0),""))&amp;""</f>
        <v/>
      </c>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row>
    <row r="255" spans="1:338" x14ac:dyDescent="0.3">
      <c r="A255" s="216" t="str">
        <f>IFERROR(IF($A254+1&gt;'(backend scoring)'!$T$335,"",$A254+1),"")</f>
        <v/>
      </c>
      <c r="B255" s="216" t="str">
        <f>_xlfn.XLOOKUP($A255,'(backend scoring)'!$V$2:$V$333,'(backend scoring)'!$A$2:$A$333,"")</f>
        <v/>
      </c>
      <c r="C255" s="216" t="str">
        <f>IFERROR(VLOOKUP($B255,'Institution Evaluation'!$A$55:$F$346,2,0),IFERROR(VLOOKUP($B255,'Privacy Analyst Evaluation'!$A$46:$F$120,2,0),""))&amp;""</f>
        <v/>
      </c>
      <c r="D255" s="216" t="str">
        <f>IFERROR(VLOOKUP($B255,'Institution Evaluation'!$A$55:$F$346,3,0),IFERROR(VLOOKUP($B255,'Privacy Analyst Evaluation'!$A$46:$F$120,3,0),""))&amp;""</f>
        <v/>
      </c>
      <c r="E255" s="216" t="str">
        <f>IFERROR(VLOOKUP($B255,'Institution Evaluation'!$A$55:$F$346,4,0),IFERROR(VLOOKUP($B255,'Privacy Analyst Evaluation'!$A$46:$F$120,4,0),""))&amp;""</f>
        <v/>
      </c>
      <c r="F255" s="216" t="str">
        <f>IFERROR(VLOOKUP($B255,'Institution Evaluation'!$A$55:$F$346,6,0),IFERROR(VLOOKUP($B255,'Privacy Analyst Evaluation'!$A$46:$F$120,6,0),""))&amp;""</f>
        <v/>
      </c>
      <c r="G255" s="217"/>
      <c r="H255" s="216" t="str">
        <f>IFERROR(IF($H254+1&gt;'(backend scoring)'!$Q$335,"",$H254+1),"")</f>
        <v/>
      </c>
      <c r="I255" s="216" t="str">
        <f>_xlfn.XLOOKUP($H255,'(backend scoring)'!$S$2:$S$333,'(backend scoring)'!$A$2:$A$333,"")</f>
        <v/>
      </c>
      <c r="J255" s="216" t="str">
        <f>IFERROR(VLOOKUP($I255,'Institution Evaluation'!$A$55:$F$346,2,0),IFERROR(VLOOKUP($I255,'Privacy Analyst Evaluation'!$A$46:$F$120,2,0),""))</f>
        <v/>
      </c>
      <c r="K255" s="216" t="str">
        <f>IFERROR(VLOOKUP($I255,'Institution Evaluation'!$A$55:$F$346,3,0),IFERROR(VLOOKUP($I255,'Privacy Analyst Evaluation'!$A$46:$F$120,3,0),""))&amp;""</f>
        <v/>
      </c>
      <c r="L255" s="216" t="str">
        <f>IFERROR(VLOOKUP($I255,'Institution Evaluation'!$A$55:$F$346,4,0),IFERROR(VLOOKUP($I255,'Privacy Analyst Evaluation'!$A$46:$F$120,4,0),""))&amp;""</f>
        <v/>
      </c>
      <c r="M255" s="216" t="str">
        <f>IFERROR(VLOOKUP($I255,'Institution Evaluation'!$A$55:$F$346,6,0),IFERROR(VLOOKUP($I255,'Privacy Analyst Evaluation'!$A$46:$F$120,6,0),""))&amp;""</f>
        <v/>
      </c>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row>
    <row r="256" spans="1:338" x14ac:dyDescent="0.3">
      <c r="A256" s="216" t="str">
        <f>IFERROR(IF($A255+1&gt;'(backend scoring)'!$T$335,"",$A255+1),"")</f>
        <v/>
      </c>
      <c r="B256" s="216" t="str">
        <f>_xlfn.XLOOKUP($A256,'(backend scoring)'!$V$2:$V$333,'(backend scoring)'!$A$2:$A$333,"")</f>
        <v/>
      </c>
      <c r="C256" s="216" t="str">
        <f>IFERROR(VLOOKUP($B256,'Institution Evaluation'!$A$55:$F$346,2,0),IFERROR(VLOOKUP($B256,'Privacy Analyst Evaluation'!$A$46:$F$120,2,0),""))&amp;""</f>
        <v/>
      </c>
      <c r="D256" s="216" t="str">
        <f>IFERROR(VLOOKUP($B256,'Institution Evaluation'!$A$55:$F$346,3,0),IFERROR(VLOOKUP($B256,'Privacy Analyst Evaluation'!$A$46:$F$120,3,0),""))&amp;""</f>
        <v/>
      </c>
      <c r="E256" s="216" t="str">
        <f>IFERROR(VLOOKUP($B256,'Institution Evaluation'!$A$55:$F$346,4,0),IFERROR(VLOOKUP($B256,'Privacy Analyst Evaluation'!$A$46:$F$120,4,0),""))&amp;""</f>
        <v/>
      </c>
      <c r="F256" s="216" t="str">
        <f>IFERROR(VLOOKUP($B256,'Institution Evaluation'!$A$55:$F$346,6,0),IFERROR(VLOOKUP($B256,'Privacy Analyst Evaluation'!$A$46:$F$120,6,0),""))&amp;""</f>
        <v/>
      </c>
      <c r="G256" s="217"/>
      <c r="H256" s="216" t="str">
        <f>IFERROR(IF($H255+1&gt;'(backend scoring)'!$Q$335,"",$H255+1),"")</f>
        <v/>
      </c>
      <c r="I256" s="216" t="str">
        <f>_xlfn.XLOOKUP($H256,'(backend scoring)'!$S$2:$S$333,'(backend scoring)'!$A$2:$A$333,"")</f>
        <v/>
      </c>
      <c r="J256" s="216" t="str">
        <f>IFERROR(VLOOKUP($I256,'Institution Evaluation'!$A$55:$F$346,2,0),IFERROR(VLOOKUP($I256,'Privacy Analyst Evaluation'!$A$46:$F$120,2,0),""))</f>
        <v/>
      </c>
      <c r="K256" s="216" t="str">
        <f>IFERROR(VLOOKUP($I256,'Institution Evaluation'!$A$55:$F$346,3,0),IFERROR(VLOOKUP($I256,'Privacy Analyst Evaluation'!$A$46:$F$120,3,0),""))&amp;""</f>
        <v/>
      </c>
      <c r="L256" s="216" t="str">
        <f>IFERROR(VLOOKUP($I256,'Institution Evaluation'!$A$55:$F$346,4,0),IFERROR(VLOOKUP($I256,'Privacy Analyst Evaluation'!$A$46:$F$120,4,0),""))&amp;""</f>
        <v/>
      </c>
      <c r="M256" s="216" t="str">
        <f>IFERROR(VLOOKUP($I256,'Institution Evaluation'!$A$55:$F$346,6,0),IFERROR(VLOOKUP($I256,'Privacy Analyst Evaluation'!$A$46:$F$120,6,0),""))&amp;""</f>
        <v/>
      </c>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row>
    <row r="257" spans="1:338" x14ac:dyDescent="0.3">
      <c r="A257" s="216" t="str">
        <f>IFERROR(IF($A256+1&gt;'(backend scoring)'!$T$335,"",$A256+1),"")</f>
        <v/>
      </c>
      <c r="B257" s="216" t="str">
        <f>_xlfn.XLOOKUP($A257,'(backend scoring)'!$V$2:$V$333,'(backend scoring)'!$A$2:$A$333,"")</f>
        <v/>
      </c>
      <c r="C257" s="216" t="str">
        <f>IFERROR(VLOOKUP($B257,'Institution Evaluation'!$A$55:$F$346,2,0),IFERROR(VLOOKUP($B257,'Privacy Analyst Evaluation'!$A$46:$F$120,2,0),""))&amp;""</f>
        <v/>
      </c>
      <c r="D257" s="216" t="str">
        <f>IFERROR(VLOOKUP($B257,'Institution Evaluation'!$A$55:$F$346,3,0),IFERROR(VLOOKUP($B257,'Privacy Analyst Evaluation'!$A$46:$F$120,3,0),""))&amp;""</f>
        <v/>
      </c>
      <c r="E257" s="216" t="str">
        <f>IFERROR(VLOOKUP($B257,'Institution Evaluation'!$A$55:$F$346,4,0),IFERROR(VLOOKUP($B257,'Privacy Analyst Evaluation'!$A$46:$F$120,4,0),""))&amp;""</f>
        <v/>
      </c>
      <c r="F257" s="216" t="str">
        <f>IFERROR(VLOOKUP($B257,'Institution Evaluation'!$A$55:$F$346,6,0),IFERROR(VLOOKUP($B257,'Privacy Analyst Evaluation'!$A$46:$F$120,6,0),""))&amp;""</f>
        <v/>
      </c>
      <c r="G257" s="217"/>
      <c r="H257" s="216" t="str">
        <f>IFERROR(IF($H256+1&gt;'(backend scoring)'!$Q$335,"",$H256+1),"")</f>
        <v/>
      </c>
      <c r="I257" s="216" t="str">
        <f>_xlfn.XLOOKUP($H257,'(backend scoring)'!$S$2:$S$333,'(backend scoring)'!$A$2:$A$333,"")</f>
        <v/>
      </c>
      <c r="J257" s="216" t="str">
        <f>IFERROR(VLOOKUP($I257,'Institution Evaluation'!$A$55:$F$346,2,0),IFERROR(VLOOKUP($I257,'Privacy Analyst Evaluation'!$A$46:$F$120,2,0),""))</f>
        <v/>
      </c>
      <c r="K257" s="216" t="str">
        <f>IFERROR(VLOOKUP($I257,'Institution Evaluation'!$A$55:$F$346,3,0),IFERROR(VLOOKUP($I257,'Privacy Analyst Evaluation'!$A$46:$F$120,3,0),""))&amp;""</f>
        <v/>
      </c>
      <c r="L257" s="216" t="str">
        <f>IFERROR(VLOOKUP($I257,'Institution Evaluation'!$A$55:$F$346,4,0),IFERROR(VLOOKUP($I257,'Privacy Analyst Evaluation'!$A$46:$F$120,4,0),""))&amp;""</f>
        <v/>
      </c>
      <c r="M257" s="216" t="str">
        <f>IFERROR(VLOOKUP($I257,'Institution Evaluation'!$A$55:$F$346,6,0),IFERROR(VLOOKUP($I257,'Privacy Analyst Evaluation'!$A$46:$F$120,6,0),""))&amp;""</f>
        <v/>
      </c>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row>
    <row r="258" spans="1:338" x14ac:dyDescent="0.3">
      <c r="A258" s="216" t="str">
        <f>IFERROR(IF($A257+1&gt;'(backend scoring)'!$T$335,"",$A257+1),"")</f>
        <v/>
      </c>
      <c r="B258" s="216" t="str">
        <f>_xlfn.XLOOKUP($A258,'(backend scoring)'!$V$2:$V$333,'(backend scoring)'!$A$2:$A$333,"")</f>
        <v/>
      </c>
      <c r="C258" s="216" t="str">
        <f>IFERROR(VLOOKUP($B258,'Institution Evaluation'!$A$55:$F$346,2,0),IFERROR(VLOOKUP($B258,'Privacy Analyst Evaluation'!$A$46:$F$120,2,0),""))&amp;""</f>
        <v/>
      </c>
      <c r="D258" s="216" t="str">
        <f>IFERROR(VLOOKUP($B258,'Institution Evaluation'!$A$55:$F$346,3,0),IFERROR(VLOOKUP($B258,'Privacy Analyst Evaluation'!$A$46:$F$120,3,0),""))&amp;""</f>
        <v/>
      </c>
      <c r="E258" s="216" t="str">
        <f>IFERROR(VLOOKUP($B258,'Institution Evaluation'!$A$55:$F$346,4,0),IFERROR(VLOOKUP($B258,'Privacy Analyst Evaluation'!$A$46:$F$120,4,0),""))&amp;""</f>
        <v/>
      </c>
      <c r="F258" s="216" t="str">
        <f>IFERROR(VLOOKUP($B258,'Institution Evaluation'!$A$55:$F$346,6,0),IFERROR(VLOOKUP($B258,'Privacy Analyst Evaluation'!$A$46:$F$120,6,0),""))&amp;""</f>
        <v/>
      </c>
      <c r="G258" s="217"/>
      <c r="H258" s="216" t="str">
        <f>IFERROR(IF($H257+1&gt;'(backend scoring)'!$Q$335,"",$H257+1),"")</f>
        <v/>
      </c>
      <c r="I258" s="216" t="str">
        <f>_xlfn.XLOOKUP($H258,'(backend scoring)'!$S$2:$S$333,'(backend scoring)'!$A$2:$A$333,"")</f>
        <v/>
      </c>
      <c r="J258" s="216" t="str">
        <f>IFERROR(VLOOKUP($I258,'Institution Evaluation'!$A$55:$F$346,2,0),IFERROR(VLOOKUP($I258,'Privacy Analyst Evaluation'!$A$46:$F$120,2,0),""))</f>
        <v/>
      </c>
      <c r="K258" s="216" t="str">
        <f>IFERROR(VLOOKUP($I258,'Institution Evaluation'!$A$55:$F$346,3,0),IFERROR(VLOOKUP($I258,'Privacy Analyst Evaluation'!$A$46:$F$120,3,0),""))&amp;""</f>
        <v/>
      </c>
      <c r="L258" s="216" t="str">
        <f>IFERROR(VLOOKUP($I258,'Institution Evaluation'!$A$55:$F$346,4,0),IFERROR(VLOOKUP($I258,'Privacy Analyst Evaluation'!$A$46:$F$120,4,0),""))&amp;""</f>
        <v/>
      </c>
      <c r="M258" s="216" t="str">
        <f>IFERROR(VLOOKUP($I258,'Institution Evaluation'!$A$55:$F$346,6,0),IFERROR(VLOOKUP($I258,'Privacy Analyst Evaluation'!$A$46:$F$120,6,0),""))&amp;""</f>
        <v/>
      </c>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row>
    <row r="259" spans="1:338" x14ac:dyDescent="0.3">
      <c r="A259" s="216" t="str">
        <f>IFERROR(IF($A258+1&gt;'(backend scoring)'!$T$335,"",$A258+1),"")</f>
        <v/>
      </c>
      <c r="B259" s="216" t="str">
        <f>_xlfn.XLOOKUP($A259,'(backend scoring)'!$V$2:$V$333,'(backend scoring)'!$A$2:$A$333,"")</f>
        <v/>
      </c>
      <c r="C259" s="216" t="str">
        <f>IFERROR(VLOOKUP($B259,'Institution Evaluation'!$A$55:$F$346,2,0),IFERROR(VLOOKUP($B259,'Privacy Analyst Evaluation'!$A$46:$F$120,2,0),""))&amp;""</f>
        <v/>
      </c>
      <c r="D259" s="216" t="str">
        <f>IFERROR(VLOOKUP($B259,'Institution Evaluation'!$A$55:$F$346,3,0),IFERROR(VLOOKUP($B259,'Privacy Analyst Evaluation'!$A$46:$F$120,3,0),""))&amp;""</f>
        <v/>
      </c>
      <c r="E259" s="216" t="str">
        <f>IFERROR(VLOOKUP($B259,'Institution Evaluation'!$A$55:$F$346,4,0),IFERROR(VLOOKUP($B259,'Privacy Analyst Evaluation'!$A$46:$F$120,4,0),""))&amp;""</f>
        <v/>
      </c>
      <c r="F259" s="216" t="str">
        <f>IFERROR(VLOOKUP($B259,'Institution Evaluation'!$A$55:$F$346,6,0),IFERROR(VLOOKUP($B259,'Privacy Analyst Evaluation'!$A$46:$F$120,6,0),""))&amp;""</f>
        <v/>
      </c>
      <c r="G259" s="217"/>
      <c r="H259" s="216" t="str">
        <f>IFERROR(IF($H258+1&gt;'(backend scoring)'!$Q$335,"",$H258+1),"")</f>
        <v/>
      </c>
      <c r="I259" s="216" t="str">
        <f>_xlfn.XLOOKUP($H259,'(backend scoring)'!$S$2:$S$333,'(backend scoring)'!$A$2:$A$333,"")</f>
        <v/>
      </c>
      <c r="J259" s="216" t="str">
        <f>IFERROR(VLOOKUP($I259,'Institution Evaluation'!$A$55:$F$346,2,0),IFERROR(VLOOKUP($I259,'Privacy Analyst Evaluation'!$A$46:$F$120,2,0),""))</f>
        <v/>
      </c>
      <c r="K259" s="216" t="str">
        <f>IFERROR(VLOOKUP($I259,'Institution Evaluation'!$A$55:$F$346,3,0),IFERROR(VLOOKUP($I259,'Privacy Analyst Evaluation'!$A$46:$F$120,3,0),""))&amp;""</f>
        <v/>
      </c>
      <c r="L259" s="216" t="str">
        <f>IFERROR(VLOOKUP($I259,'Institution Evaluation'!$A$55:$F$346,4,0),IFERROR(VLOOKUP($I259,'Privacy Analyst Evaluation'!$A$46:$F$120,4,0),""))&amp;""</f>
        <v/>
      </c>
      <c r="M259" s="216" t="str">
        <f>IFERROR(VLOOKUP($I259,'Institution Evaluation'!$A$55:$F$346,6,0),IFERROR(VLOOKUP($I259,'Privacy Analyst Evaluation'!$A$46:$F$120,6,0),""))&amp;""</f>
        <v/>
      </c>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row>
    <row r="260" spans="1:338" x14ac:dyDescent="0.3">
      <c r="A260" s="216" t="str">
        <f>IFERROR(IF($A259+1&gt;'(backend scoring)'!$T$335,"",$A259+1),"")</f>
        <v/>
      </c>
      <c r="B260" s="216" t="str">
        <f>_xlfn.XLOOKUP($A260,'(backend scoring)'!$V$2:$V$333,'(backend scoring)'!$A$2:$A$333,"")</f>
        <v/>
      </c>
      <c r="C260" s="216" t="str">
        <f>IFERROR(VLOOKUP($B260,'Institution Evaluation'!$A$55:$F$346,2,0),IFERROR(VLOOKUP($B260,'Privacy Analyst Evaluation'!$A$46:$F$120,2,0),""))&amp;""</f>
        <v/>
      </c>
      <c r="D260" s="216" t="str">
        <f>IFERROR(VLOOKUP($B260,'Institution Evaluation'!$A$55:$F$346,3,0),IFERROR(VLOOKUP($B260,'Privacy Analyst Evaluation'!$A$46:$F$120,3,0),""))&amp;""</f>
        <v/>
      </c>
      <c r="E260" s="216" t="str">
        <f>IFERROR(VLOOKUP($B260,'Institution Evaluation'!$A$55:$F$346,4,0),IFERROR(VLOOKUP($B260,'Privacy Analyst Evaluation'!$A$46:$F$120,4,0),""))&amp;""</f>
        <v/>
      </c>
      <c r="F260" s="216" t="str">
        <f>IFERROR(VLOOKUP($B260,'Institution Evaluation'!$A$55:$F$346,6,0),IFERROR(VLOOKUP($B260,'Privacy Analyst Evaluation'!$A$46:$F$120,6,0),""))&amp;""</f>
        <v/>
      </c>
      <c r="G260" s="217"/>
      <c r="H260" s="216" t="str">
        <f>IFERROR(IF($H259+1&gt;'(backend scoring)'!$Q$335,"",$H259+1),"")</f>
        <v/>
      </c>
      <c r="I260" s="216" t="str">
        <f>_xlfn.XLOOKUP($H260,'(backend scoring)'!$S$2:$S$333,'(backend scoring)'!$A$2:$A$333,"")</f>
        <v/>
      </c>
      <c r="J260" s="216" t="str">
        <f>IFERROR(VLOOKUP($I260,'Institution Evaluation'!$A$55:$F$346,2,0),IFERROR(VLOOKUP($I260,'Privacy Analyst Evaluation'!$A$46:$F$120,2,0),""))</f>
        <v/>
      </c>
      <c r="K260" s="216" t="str">
        <f>IFERROR(VLOOKUP($I260,'Institution Evaluation'!$A$55:$F$346,3,0),IFERROR(VLOOKUP($I260,'Privacy Analyst Evaluation'!$A$46:$F$120,3,0),""))&amp;""</f>
        <v/>
      </c>
      <c r="L260" s="216" t="str">
        <f>IFERROR(VLOOKUP($I260,'Institution Evaluation'!$A$55:$F$346,4,0),IFERROR(VLOOKUP($I260,'Privacy Analyst Evaluation'!$A$46:$F$120,4,0),""))&amp;""</f>
        <v/>
      </c>
      <c r="M260" s="216" t="str">
        <f>IFERROR(VLOOKUP($I260,'Institution Evaluation'!$A$55:$F$346,6,0),IFERROR(VLOOKUP($I260,'Privacy Analyst Evaluation'!$A$46:$F$120,6,0),""))&amp;""</f>
        <v/>
      </c>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row>
    <row r="261" spans="1:338" x14ac:dyDescent="0.3">
      <c r="A261" s="216" t="str">
        <f>IFERROR(IF($A260+1&gt;'(backend scoring)'!$T$335,"",$A260+1),"")</f>
        <v/>
      </c>
      <c r="B261" s="216" t="str">
        <f>_xlfn.XLOOKUP($A261,'(backend scoring)'!$V$2:$V$333,'(backend scoring)'!$A$2:$A$333,"")</f>
        <v/>
      </c>
      <c r="C261" s="216" t="str">
        <f>IFERROR(VLOOKUP($B261,'Institution Evaluation'!$A$55:$F$346,2,0),IFERROR(VLOOKUP($B261,'Privacy Analyst Evaluation'!$A$46:$F$120,2,0),""))&amp;""</f>
        <v/>
      </c>
      <c r="D261" s="216" t="str">
        <f>IFERROR(VLOOKUP($B261,'Institution Evaluation'!$A$55:$F$346,3,0),IFERROR(VLOOKUP($B261,'Privacy Analyst Evaluation'!$A$46:$F$120,3,0),""))&amp;""</f>
        <v/>
      </c>
      <c r="E261" s="216" t="str">
        <f>IFERROR(VLOOKUP($B261,'Institution Evaluation'!$A$55:$F$346,4,0),IFERROR(VLOOKUP($B261,'Privacy Analyst Evaluation'!$A$46:$F$120,4,0),""))&amp;""</f>
        <v/>
      </c>
      <c r="F261" s="216" t="str">
        <f>IFERROR(VLOOKUP($B261,'Institution Evaluation'!$A$55:$F$346,6,0),IFERROR(VLOOKUP($B261,'Privacy Analyst Evaluation'!$A$46:$F$120,6,0),""))&amp;""</f>
        <v/>
      </c>
      <c r="G261" s="217"/>
      <c r="H261" s="216" t="str">
        <f>IFERROR(IF($H260+1&gt;'(backend scoring)'!$Q$335,"",$H260+1),"")</f>
        <v/>
      </c>
      <c r="I261" s="216" t="str">
        <f>_xlfn.XLOOKUP($H261,'(backend scoring)'!$S$2:$S$333,'(backend scoring)'!$A$2:$A$333,"")</f>
        <v/>
      </c>
      <c r="J261" s="216" t="str">
        <f>IFERROR(VLOOKUP($I261,'Institution Evaluation'!$A$55:$F$346,2,0),IFERROR(VLOOKUP($I261,'Privacy Analyst Evaluation'!$A$46:$F$120,2,0),""))</f>
        <v/>
      </c>
      <c r="K261" s="216" t="str">
        <f>IFERROR(VLOOKUP($I261,'Institution Evaluation'!$A$55:$F$346,3,0),IFERROR(VLOOKUP($I261,'Privacy Analyst Evaluation'!$A$46:$F$120,3,0),""))&amp;""</f>
        <v/>
      </c>
      <c r="L261" s="216" t="str">
        <f>IFERROR(VLOOKUP($I261,'Institution Evaluation'!$A$55:$F$346,4,0),IFERROR(VLOOKUP($I261,'Privacy Analyst Evaluation'!$A$46:$F$120,4,0),""))&amp;""</f>
        <v/>
      </c>
      <c r="M261" s="216" t="str">
        <f>IFERROR(VLOOKUP($I261,'Institution Evaluation'!$A$55:$F$346,6,0),IFERROR(VLOOKUP($I261,'Privacy Analyst Evaluation'!$A$46:$F$120,6,0),""))&amp;""</f>
        <v/>
      </c>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row>
    <row r="262" spans="1:338" x14ac:dyDescent="0.3">
      <c r="A262" s="216" t="str">
        <f>IFERROR(IF($A261+1&gt;'(backend scoring)'!$T$335,"",$A261+1),"")</f>
        <v/>
      </c>
      <c r="B262" s="216" t="str">
        <f>_xlfn.XLOOKUP($A262,'(backend scoring)'!$V$2:$V$333,'(backend scoring)'!$A$2:$A$333,"")</f>
        <v/>
      </c>
      <c r="C262" s="216" t="str">
        <f>IFERROR(VLOOKUP($B262,'Institution Evaluation'!$A$55:$F$346,2,0),IFERROR(VLOOKUP($B262,'Privacy Analyst Evaluation'!$A$46:$F$120,2,0),""))&amp;""</f>
        <v/>
      </c>
      <c r="D262" s="216" t="str">
        <f>IFERROR(VLOOKUP($B262,'Institution Evaluation'!$A$55:$F$346,3,0),IFERROR(VLOOKUP($B262,'Privacy Analyst Evaluation'!$A$46:$F$120,3,0),""))&amp;""</f>
        <v/>
      </c>
      <c r="E262" s="216" t="str">
        <f>IFERROR(VLOOKUP($B262,'Institution Evaluation'!$A$55:$F$346,4,0),IFERROR(VLOOKUP($B262,'Privacy Analyst Evaluation'!$A$46:$F$120,4,0),""))&amp;""</f>
        <v/>
      </c>
      <c r="F262" s="216" t="str">
        <f>IFERROR(VLOOKUP($B262,'Institution Evaluation'!$A$55:$F$346,6,0),IFERROR(VLOOKUP($B262,'Privacy Analyst Evaluation'!$A$46:$F$120,6,0),""))&amp;""</f>
        <v/>
      </c>
      <c r="G262" s="217"/>
      <c r="H262" s="216" t="str">
        <f>IFERROR(IF($H261+1&gt;'(backend scoring)'!$Q$335,"",$H261+1),"")</f>
        <v/>
      </c>
      <c r="I262" s="216" t="str">
        <f>_xlfn.XLOOKUP($H262,'(backend scoring)'!$S$2:$S$333,'(backend scoring)'!$A$2:$A$333,"")</f>
        <v/>
      </c>
      <c r="J262" s="216" t="str">
        <f>IFERROR(VLOOKUP($I262,'Institution Evaluation'!$A$55:$F$346,2,0),IFERROR(VLOOKUP($I262,'Privacy Analyst Evaluation'!$A$46:$F$120,2,0),""))</f>
        <v/>
      </c>
      <c r="K262" s="216" t="str">
        <f>IFERROR(VLOOKUP($I262,'Institution Evaluation'!$A$55:$F$346,3,0),IFERROR(VLOOKUP($I262,'Privacy Analyst Evaluation'!$A$46:$F$120,3,0),""))&amp;""</f>
        <v/>
      </c>
      <c r="L262" s="216" t="str">
        <f>IFERROR(VLOOKUP($I262,'Institution Evaluation'!$A$55:$F$346,4,0),IFERROR(VLOOKUP($I262,'Privacy Analyst Evaluation'!$A$46:$F$120,4,0),""))&amp;""</f>
        <v/>
      </c>
      <c r="M262" s="216" t="str">
        <f>IFERROR(VLOOKUP($I262,'Institution Evaluation'!$A$55:$F$346,6,0),IFERROR(VLOOKUP($I262,'Privacy Analyst Evaluation'!$A$46:$F$120,6,0),""))&amp;""</f>
        <v/>
      </c>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row>
    <row r="263" spans="1:338" x14ac:dyDescent="0.3">
      <c r="A263" s="216" t="str">
        <f>IFERROR(IF($A262+1&gt;'(backend scoring)'!$T$335,"",$A262+1),"")</f>
        <v/>
      </c>
      <c r="B263" s="216" t="str">
        <f>_xlfn.XLOOKUP($A263,'(backend scoring)'!$V$2:$V$333,'(backend scoring)'!$A$2:$A$333,"")</f>
        <v/>
      </c>
      <c r="C263" s="216" t="str">
        <f>IFERROR(VLOOKUP($B263,'Institution Evaluation'!$A$55:$F$346,2,0),IFERROR(VLOOKUP($B263,'Privacy Analyst Evaluation'!$A$46:$F$120,2,0),""))&amp;""</f>
        <v/>
      </c>
      <c r="D263" s="216" t="str">
        <f>IFERROR(VLOOKUP($B263,'Institution Evaluation'!$A$55:$F$346,3,0),IFERROR(VLOOKUP($B263,'Privacy Analyst Evaluation'!$A$46:$F$120,3,0),""))&amp;""</f>
        <v/>
      </c>
      <c r="E263" s="216" t="str">
        <f>IFERROR(VLOOKUP($B263,'Institution Evaluation'!$A$55:$F$346,4,0),IFERROR(VLOOKUP($B263,'Privacy Analyst Evaluation'!$A$46:$F$120,4,0),""))&amp;""</f>
        <v/>
      </c>
      <c r="F263" s="216" t="str">
        <f>IFERROR(VLOOKUP($B263,'Institution Evaluation'!$A$55:$F$346,6,0),IFERROR(VLOOKUP($B263,'Privacy Analyst Evaluation'!$A$46:$F$120,6,0),""))&amp;""</f>
        <v/>
      </c>
      <c r="G263" s="217"/>
      <c r="H263" s="216" t="str">
        <f>IFERROR(IF($H262+1&gt;'(backend scoring)'!$Q$335,"",$H262+1),"")</f>
        <v/>
      </c>
      <c r="I263" s="216" t="str">
        <f>_xlfn.XLOOKUP($H263,'(backend scoring)'!$S$2:$S$333,'(backend scoring)'!$A$2:$A$333,"")</f>
        <v/>
      </c>
      <c r="J263" s="216" t="str">
        <f>IFERROR(VLOOKUP($I263,'Institution Evaluation'!$A$55:$F$346,2,0),IFERROR(VLOOKUP($I263,'Privacy Analyst Evaluation'!$A$46:$F$120,2,0),""))</f>
        <v/>
      </c>
      <c r="K263" s="216" t="str">
        <f>IFERROR(VLOOKUP($I263,'Institution Evaluation'!$A$55:$F$346,3,0),IFERROR(VLOOKUP($I263,'Privacy Analyst Evaluation'!$A$46:$F$120,3,0),""))&amp;""</f>
        <v/>
      </c>
      <c r="L263" s="216" t="str">
        <f>IFERROR(VLOOKUP($I263,'Institution Evaluation'!$A$55:$F$346,4,0),IFERROR(VLOOKUP($I263,'Privacy Analyst Evaluation'!$A$46:$F$120,4,0),""))&amp;""</f>
        <v/>
      </c>
      <c r="M263" s="216" t="str">
        <f>IFERROR(VLOOKUP($I263,'Institution Evaluation'!$A$55:$F$346,6,0),IFERROR(VLOOKUP($I263,'Privacy Analyst Evaluation'!$A$46:$F$120,6,0),""))&amp;""</f>
        <v/>
      </c>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row>
    <row r="264" spans="1:338" x14ac:dyDescent="0.3">
      <c r="A264" s="216" t="str">
        <f>IFERROR(IF($A263+1&gt;'(backend scoring)'!$T$335,"",$A263+1),"")</f>
        <v/>
      </c>
      <c r="B264" s="216" t="str">
        <f>_xlfn.XLOOKUP($A264,'(backend scoring)'!$V$2:$V$333,'(backend scoring)'!$A$2:$A$333,"")</f>
        <v/>
      </c>
      <c r="C264" s="216" t="str">
        <f>IFERROR(VLOOKUP($B264,'Institution Evaluation'!$A$55:$F$346,2,0),IFERROR(VLOOKUP($B264,'Privacy Analyst Evaluation'!$A$46:$F$120,2,0),""))&amp;""</f>
        <v/>
      </c>
      <c r="D264" s="216" t="str">
        <f>IFERROR(VLOOKUP($B264,'Institution Evaluation'!$A$55:$F$346,3,0),IFERROR(VLOOKUP($B264,'Privacy Analyst Evaluation'!$A$46:$F$120,3,0),""))&amp;""</f>
        <v/>
      </c>
      <c r="E264" s="216" t="str">
        <f>IFERROR(VLOOKUP($B264,'Institution Evaluation'!$A$55:$F$346,4,0),IFERROR(VLOOKUP($B264,'Privacy Analyst Evaluation'!$A$46:$F$120,4,0),""))&amp;""</f>
        <v/>
      </c>
      <c r="F264" s="216" t="str">
        <f>IFERROR(VLOOKUP($B264,'Institution Evaluation'!$A$55:$F$346,6,0),IFERROR(VLOOKUP($B264,'Privacy Analyst Evaluation'!$A$46:$F$120,6,0),""))&amp;""</f>
        <v/>
      </c>
      <c r="G264" s="217"/>
      <c r="H264" s="216" t="str">
        <f>IFERROR(IF($H263+1&gt;'(backend scoring)'!$Q$335,"",$H263+1),"")</f>
        <v/>
      </c>
      <c r="I264" s="216" t="str">
        <f>_xlfn.XLOOKUP($H264,'(backend scoring)'!$S$2:$S$333,'(backend scoring)'!$A$2:$A$333,"")</f>
        <v/>
      </c>
      <c r="J264" s="216" t="str">
        <f>IFERROR(VLOOKUP($I264,'Institution Evaluation'!$A$55:$F$346,2,0),IFERROR(VLOOKUP($I264,'Privacy Analyst Evaluation'!$A$46:$F$120,2,0),""))</f>
        <v/>
      </c>
      <c r="K264" s="216" t="str">
        <f>IFERROR(VLOOKUP($I264,'Institution Evaluation'!$A$55:$F$346,3,0),IFERROR(VLOOKUP($I264,'Privacy Analyst Evaluation'!$A$46:$F$120,3,0),""))&amp;""</f>
        <v/>
      </c>
      <c r="L264" s="216" t="str">
        <f>IFERROR(VLOOKUP($I264,'Institution Evaluation'!$A$55:$F$346,4,0),IFERROR(VLOOKUP($I264,'Privacy Analyst Evaluation'!$A$46:$F$120,4,0),""))&amp;""</f>
        <v/>
      </c>
      <c r="M264" s="216" t="str">
        <f>IFERROR(VLOOKUP($I264,'Institution Evaluation'!$A$55:$F$346,6,0),IFERROR(VLOOKUP($I264,'Privacy Analyst Evaluation'!$A$46:$F$120,6,0),""))&amp;""</f>
        <v/>
      </c>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row>
    <row r="265" spans="1:338" x14ac:dyDescent="0.3">
      <c r="A265" s="216" t="str">
        <f>IFERROR(IF($A264+1&gt;'(backend scoring)'!$T$335,"",$A264+1),"")</f>
        <v/>
      </c>
      <c r="B265" s="216" t="str">
        <f>_xlfn.XLOOKUP($A265,'(backend scoring)'!$V$2:$V$333,'(backend scoring)'!$A$2:$A$333,"")</f>
        <v/>
      </c>
      <c r="C265" s="216" t="str">
        <f>IFERROR(VLOOKUP($B265,'Institution Evaluation'!$A$55:$F$346,2,0),IFERROR(VLOOKUP($B265,'Privacy Analyst Evaluation'!$A$46:$F$120,2,0),""))&amp;""</f>
        <v/>
      </c>
      <c r="D265" s="216" t="str">
        <f>IFERROR(VLOOKUP($B265,'Institution Evaluation'!$A$55:$F$346,3,0),IFERROR(VLOOKUP($B265,'Privacy Analyst Evaluation'!$A$46:$F$120,3,0),""))&amp;""</f>
        <v/>
      </c>
      <c r="E265" s="216" t="str">
        <f>IFERROR(VLOOKUP($B265,'Institution Evaluation'!$A$55:$F$346,4,0),IFERROR(VLOOKUP($B265,'Privacy Analyst Evaluation'!$A$46:$F$120,4,0),""))&amp;""</f>
        <v/>
      </c>
      <c r="F265" s="216" t="str">
        <f>IFERROR(VLOOKUP($B265,'Institution Evaluation'!$A$55:$F$346,6,0),IFERROR(VLOOKUP($B265,'Privacy Analyst Evaluation'!$A$46:$F$120,6,0),""))&amp;""</f>
        <v/>
      </c>
      <c r="G265" s="217"/>
      <c r="H265" s="216" t="str">
        <f>IFERROR(IF($H264+1&gt;'(backend scoring)'!$Q$335,"",$H264+1),"")</f>
        <v/>
      </c>
      <c r="I265" s="216" t="str">
        <f>_xlfn.XLOOKUP($H265,'(backend scoring)'!$S$2:$S$333,'(backend scoring)'!$A$2:$A$333,"")</f>
        <v/>
      </c>
      <c r="J265" s="216" t="str">
        <f>IFERROR(VLOOKUP($I265,'Institution Evaluation'!$A$55:$F$346,2,0),IFERROR(VLOOKUP($I265,'Privacy Analyst Evaluation'!$A$46:$F$120,2,0),""))</f>
        <v/>
      </c>
      <c r="K265" s="216" t="str">
        <f>IFERROR(VLOOKUP($I265,'Institution Evaluation'!$A$55:$F$346,3,0),IFERROR(VLOOKUP($I265,'Privacy Analyst Evaluation'!$A$46:$F$120,3,0),""))&amp;""</f>
        <v/>
      </c>
      <c r="L265" s="216" t="str">
        <f>IFERROR(VLOOKUP($I265,'Institution Evaluation'!$A$55:$F$346,4,0),IFERROR(VLOOKUP($I265,'Privacy Analyst Evaluation'!$A$46:$F$120,4,0),""))&amp;""</f>
        <v/>
      </c>
      <c r="M265" s="216" t="str">
        <f>IFERROR(VLOOKUP($I265,'Institution Evaluation'!$A$55:$F$346,6,0),IFERROR(VLOOKUP($I265,'Privacy Analyst Evaluation'!$A$46:$F$120,6,0),""))&amp;""</f>
        <v/>
      </c>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row>
    <row r="266" spans="1:338" x14ac:dyDescent="0.3">
      <c r="A266" s="216" t="str">
        <f>IFERROR(IF($A265+1&gt;'(backend scoring)'!$T$335,"",$A265+1),"")</f>
        <v/>
      </c>
      <c r="B266" s="216" t="str">
        <f>_xlfn.XLOOKUP($A266,'(backend scoring)'!$V$2:$V$333,'(backend scoring)'!$A$2:$A$333,"")</f>
        <v/>
      </c>
      <c r="C266" s="216" t="str">
        <f>IFERROR(VLOOKUP($B266,'Institution Evaluation'!$A$55:$F$346,2,0),IFERROR(VLOOKUP($B266,'Privacy Analyst Evaluation'!$A$46:$F$120,2,0),""))&amp;""</f>
        <v/>
      </c>
      <c r="D266" s="216" t="str">
        <f>IFERROR(VLOOKUP($B266,'Institution Evaluation'!$A$55:$F$346,3,0),IFERROR(VLOOKUP($B266,'Privacy Analyst Evaluation'!$A$46:$F$120,3,0),""))&amp;""</f>
        <v/>
      </c>
      <c r="E266" s="216" t="str">
        <f>IFERROR(VLOOKUP($B266,'Institution Evaluation'!$A$55:$F$346,4,0),IFERROR(VLOOKUP($B266,'Privacy Analyst Evaluation'!$A$46:$F$120,4,0),""))&amp;""</f>
        <v/>
      </c>
      <c r="F266" s="216" t="str">
        <f>IFERROR(VLOOKUP($B266,'Institution Evaluation'!$A$55:$F$346,6,0),IFERROR(VLOOKUP($B266,'Privacy Analyst Evaluation'!$A$46:$F$120,6,0),""))&amp;""</f>
        <v/>
      </c>
      <c r="G266" s="217"/>
      <c r="H266" s="216" t="str">
        <f>IFERROR(IF($H265+1&gt;'(backend scoring)'!$Q$335,"",$H265+1),"")</f>
        <v/>
      </c>
      <c r="I266" s="216" t="str">
        <f>_xlfn.XLOOKUP($H266,'(backend scoring)'!$S$2:$S$333,'(backend scoring)'!$A$2:$A$333,"")</f>
        <v/>
      </c>
      <c r="J266" s="216" t="str">
        <f>IFERROR(VLOOKUP($I266,'Institution Evaluation'!$A$55:$F$346,2,0),IFERROR(VLOOKUP($I266,'Privacy Analyst Evaluation'!$A$46:$F$120,2,0),""))</f>
        <v/>
      </c>
      <c r="K266" s="216" t="str">
        <f>IFERROR(VLOOKUP($I266,'Institution Evaluation'!$A$55:$F$346,3,0),IFERROR(VLOOKUP($I266,'Privacy Analyst Evaluation'!$A$46:$F$120,3,0),""))&amp;""</f>
        <v/>
      </c>
      <c r="L266" s="216" t="str">
        <f>IFERROR(VLOOKUP($I266,'Institution Evaluation'!$A$55:$F$346,4,0),IFERROR(VLOOKUP($I266,'Privacy Analyst Evaluation'!$A$46:$F$120,4,0),""))&amp;""</f>
        <v/>
      </c>
      <c r="M266" s="216" t="str">
        <f>IFERROR(VLOOKUP($I266,'Institution Evaluation'!$A$55:$F$346,6,0),IFERROR(VLOOKUP($I266,'Privacy Analyst Evaluation'!$A$46:$F$120,6,0),""))&amp;""</f>
        <v/>
      </c>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row>
    <row r="267" spans="1:338" x14ac:dyDescent="0.3">
      <c r="A267" s="216" t="str">
        <f>IFERROR(IF($A266+1&gt;'(backend scoring)'!$T$335,"",$A266+1),"")</f>
        <v/>
      </c>
      <c r="B267" s="216" t="str">
        <f>_xlfn.XLOOKUP($A267,'(backend scoring)'!$V$2:$V$333,'(backend scoring)'!$A$2:$A$333,"")</f>
        <v/>
      </c>
      <c r="C267" s="216" t="str">
        <f>IFERROR(VLOOKUP($B267,'Institution Evaluation'!$A$55:$F$346,2,0),IFERROR(VLOOKUP($B267,'Privacy Analyst Evaluation'!$A$46:$F$120,2,0),""))&amp;""</f>
        <v/>
      </c>
      <c r="D267" s="216" t="str">
        <f>IFERROR(VLOOKUP($B267,'Institution Evaluation'!$A$55:$F$346,3,0),IFERROR(VLOOKUP($B267,'Privacy Analyst Evaluation'!$A$46:$F$120,3,0),""))&amp;""</f>
        <v/>
      </c>
      <c r="E267" s="216" t="str">
        <f>IFERROR(VLOOKUP($B267,'Institution Evaluation'!$A$55:$F$346,4,0),IFERROR(VLOOKUP($B267,'Privacy Analyst Evaluation'!$A$46:$F$120,4,0),""))&amp;""</f>
        <v/>
      </c>
      <c r="F267" s="216" t="str">
        <f>IFERROR(VLOOKUP($B267,'Institution Evaluation'!$A$55:$F$346,6,0),IFERROR(VLOOKUP($B267,'Privacy Analyst Evaluation'!$A$46:$F$120,6,0),""))&amp;""</f>
        <v/>
      </c>
      <c r="G267" s="217"/>
      <c r="H267" s="216" t="str">
        <f>IFERROR(IF($H266+1&gt;'(backend scoring)'!$Q$335,"",$H266+1),"")</f>
        <v/>
      </c>
      <c r="I267" s="216" t="str">
        <f>_xlfn.XLOOKUP($H267,'(backend scoring)'!$S$2:$S$333,'(backend scoring)'!$A$2:$A$333,"")</f>
        <v/>
      </c>
      <c r="J267" s="216" t="str">
        <f>IFERROR(VLOOKUP($I267,'Institution Evaluation'!$A$55:$F$346,2,0),IFERROR(VLOOKUP($I267,'Privacy Analyst Evaluation'!$A$46:$F$120,2,0),""))</f>
        <v/>
      </c>
      <c r="K267" s="216" t="str">
        <f>IFERROR(VLOOKUP($I267,'Institution Evaluation'!$A$55:$F$346,3,0),IFERROR(VLOOKUP($I267,'Privacy Analyst Evaluation'!$A$46:$F$120,3,0),""))&amp;""</f>
        <v/>
      </c>
      <c r="L267" s="216" t="str">
        <f>IFERROR(VLOOKUP($I267,'Institution Evaluation'!$A$55:$F$346,4,0),IFERROR(VLOOKUP($I267,'Privacy Analyst Evaluation'!$A$46:$F$120,4,0),""))&amp;""</f>
        <v/>
      </c>
      <c r="M267" s="216" t="str">
        <f>IFERROR(VLOOKUP($I267,'Institution Evaluation'!$A$55:$F$346,6,0),IFERROR(VLOOKUP($I267,'Privacy Analyst Evaluation'!$A$46:$F$120,6,0),""))&amp;""</f>
        <v/>
      </c>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row>
    <row r="268" spans="1:338" x14ac:dyDescent="0.3">
      <c r="A268" s="216" t="str">
        <f>IFERROR(IF($A267+1&gt;'(backend scoring)'!$T$335,"",$A267+1),"")</f>
        <v/>
      </c>
      <c r="B268" s="216" t="str">
        <f>_xlfn.XLOOKUP($A268,'(backend scoring)'!$V$2:$V$333,'(backend scoring)'!$A$2:$A$333,"")</f>
        <v/>
      </c>
      <c r="C268" s="216" t="str">
        <f>IFERROR(VLOOKUP($B268,'Institution Evaluation'!$A$55:$F$346,2,0),IFERROR(VLOOKUP($B268,'Privacy Analyst Evaluation'!$A$46:$F$120,2,0),""))&amp;""</f>
        <v/>
      </c>
      <c r="D268" s="216" t="str">
        <f>IFERROR(VLOOKUP($B268,'Institution Evaluation'!$A$55:$F$346,3,0),IFERROR(VLOOKUP($B268,'Privacy Analyst Evaluation'!$A$46:$F$120,3,0),""))&amp;""</f>
        <v/>
      </c>
      <c r="E268" s="216" t="str">
        <f>IFERROR(VLOOKUP($B268,'Institution Evaluation'!$A$55:$F$346,4,0),IFERROR(VLOOKUP($B268,'Privacy Analyst Evaluation'!$A$46:$F$120,4,0),""))&amp;""</f>
        <v/>
      </c>
      <c r="F268" s="216" t="str">
        <f>IFERROR(VLOOKUP($B268,'Institution Evaluation'!$A$55:$F$346,6,0),IFERROR(VLOOKUP($B268,'Privacy Analyst Evaluation'!$A$46:$F$120,6,0),""))&amp;""</f>
        <v/>
      </c>
      <c r="G268" s="217"/>
      <c r="H268" s="216" t="str">
        <f>IFERROR(IF($H267+1&gt;'(backend scoring)'!$Q$335,"",$H267+1),"")</f>
        <v/>
      </c>
      <c r="I268" s="216" t="str">
        <f>_xlfn.XLOOKUP($H268,'(backend scoring)'!$S$2:$S$333,'(backend scoring)'!$A$2:$A$333,"")</f>
        <v/>
      </c>
      <c r="J268" s="216" t="str">
        <f>IFERROR(VLOOKUP($I268,'Institution Evaluation'!$A$55:$F$346,2,0),IFERROR(VLOOKUP($I268,'Privacy Analyst Evaluation'!$A$46:$F$120,2,0),""))</f>
        <v/>
      </c>
      <c r="K268" s="216" t="str">
        <f>IFERROR(VLOOKUP($I268,'Institution Evaluation'!$A$55:$F$346,3,0),IFERROR(VLOOKUP($I268,'Privacy Analyst Evaluation'!$A$46:$F$120,3,0),""))&amp;""</f>
        <v/>
      </c>
      <c r="L268" s="216" t="str">
        <f>IFERROR(VLOOKUP($I268,'Institution Evaluation'!$A$55:$F$346,4,0),IFERROR(VLOOKUP($I268,'Privacy Analyst Evaluation'!$A$46:$F$120,4,0),""))&amp;""</f>
        <v/>
      </c>
      <c r="M268" s="216" t="str">
        <f>IFERROR(VLOOKUP($I268,'Institution Evaluation'!$A$55:$F$346,6,0),IFERROR(VLOOKUP($I268,'Privacy Analyst Evaluation'!$A$46:$F$120,6,0),""))&amp;""</f>
        <v/>
      </c>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row>
    <row r="269" spans="1:338" x14ac:dyDescent="0.3">
      <c r="A269" s="216" t="str">
        <f>IFERROR(IF($A268+1&gt;'(backend scoring)'!$T$335,"",$A268+1),"")</f>
        <v/>
      </c>
      <c r="B269" s="216" t="str">
        <f>_xlfn.XLOOKUP($A269,'(backend scoring)'!$V$2:$V$333,'(backend scoring)'!$A$2:$A$333,"")</f>
        <v/>
      </c>
      <c r="C269" s="216" t="str">
        <f>IFERROR(VLOOKUP($B269,'Institution Evaluation'!$A$55:$F$346,2,0),IFERROR(VLOOKUP($B269,'Privacy Analyst Evaluation'!$A$46:$F$120,2,0),""))&amp;""</f>
        <v/>
      </c>
      <c r="D269" s="216" t="str">
        <f>IFERROR(VLOOKUP($B269,'Institution Evaluation'!$A$55:$F$346,3,0),IFERROR(VLOOKUP($B269,'Privacy Analyst Evaluation'!$A$46:$F$120,3,0),""))&amp;""</f>
        <v/>
      </c>
      <c r="E269" s="216" t="str">
        <f>IFERROR(VLOOKUP($B269,'Institution Evaluation'!$A$55:$F$346,4,0),IFERROR(VLOOKUP($B269,'Privacy Analyst Evaluation'!$A$46:$F$120,4,0),""))&amp;""</f>
        <v/>
      </c>
      <c r="F269" s="216" t="str">
        <f>IFERROR(VLOOKUP($B269,'Institution Evaluation'!$A$55:$F$346,6,0),IFERROR(VLOOKUP($B269,'Privacy Analyst Evaluation'!$A$46:$F$120,6,0),""))&amp;""</f>
        <v/>
      </c>
      <c r="G269" s="217"/>
      <c r="H269" s="216" t="str">
        <f>IFERROR(IF($H268+1&gt;'(backend scoring)'!$Q$335,"",$H268+1),"")</f>
        <v/>
      </c>
      <c r="I269" s="216" t="str">
        <f>_xlfn.XLOOKUP($H269,'(backend scoring)'!$S$2:$S$333,'(backend scoring)'!$A$2:$A$333,"")</f>
        <v/>
      </c>
      <c r="J269" s="216" t="str">
        <f>IFERROR(VLOOKUP($I269,'Institution Evaluation'!$A$55:$F$346,2,0),IFERROR(VLOOKUP($I269,'Privacy Analyst Evaluation'!$A$46:$F$120,2,0),""))</f>
        <v/>
      </c>
      <c r="K269" s="216" t="str">
        <f>IFERROR(VLOOKUP($I269,'Institution Evaluation'!$A$55:$F$346,3,0),IFERROR(VLOOKUP($I269,'Privacy Analyst Evaluation'!$A$46:$F$120,3,0),""))&amp;""</f>
        <v/>
      </c>
      <c r="L269" s="216" t="str">
        <f>IFERROR(VLOOKUP($I269,'Institution Evaluation'!$A$55:$F$346,4,0),IFERROR(VLOOKUP($I269,'Privacy Analyst Evaluation'!$A$46:$F$120,4,0),""))&amp;""</f>
        <v/>
      </c>
      <c r="M269" s="216" t="str">
        <f>IFERROR(VLOOKUP($I269,'Institution Evaluation'!$A$55:$F$346,6,0),IFERROR(VLOOKUP($I269,'Privacy Analyst Evaluation'!$A$46:$F$120,6,0),""))&amp;""</f>
        <v/>
      </c>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row>
    <row r="270" spans="1:338" x14ac:dyDescent="0.3">
      <c r="A270" s="216" t="str">
        <f>IFERROR(IF($A269+1&gt;'(backend scoring)'!$T$335,"",$A269+1),"")</f>
        <v/>
      </c>
      <c r="B270" s="216" t="str">
        <f>_xlfn.XLOOKUP($A270,'(backend scoring)'!$V$2:$V$333,'(backend scoring)'!$A$2:$A$333,"")</f>
        <v/>
      </c>
      <c r="C270" s="216" t="str">
        <f>IFERROR(VLOOKUP($B270,'Institution Evaluation'!$A$55:$F$346,2,0),IFERROR(VLOOKUP($B270,'Privacy Analyst Evaluation'!$A$46:$F$120,2,0),""))&amp;""</f>
        <v/>
      </c>
      <c r="D270" s="216" t="str">
        <f>IFERROR(VLOOKUP($B270,'Institution Evaluation'!$A$55:$F$346,3,0),IFERROR(VLOOKUP($B270,'Privacy Analyst Evaluation'!$A$46:$F$120,3,0),""))&amp;""</f>
        <v/>
      </c>
      <c r="E270" s="216" t="str">
        <f>IFERROR(VLOOKUP($B270,'Institution Evaluation'!$A$55:$F$346,4,0),IFERROR(VLOOKUP($B270,'Privacy Analyst Evaluation'!$A$46:$F$120,4,0),""))&amp;""</f>
        <v/>
      </c>
      <c r="F270" s="216" t="str">
        <f>IFERROR(VLOOKUP($B270,'Institution Evaluation'!$A$55:$F$346,6,0),IFERROR(VLOOKUP($B270,'Privacy Analyst Evaluation'!$A$46:$F$120,6,0),""))&amp;""</f>
        <v/>
      </c>
      <c r="G270" s="217"/>
      <c r="H270" s="216" t="str">
        <f>IFERROR(IF($H269+1&gt;'(backend scoring)'!$Q$335,"",$H269+1),"")</f>
        <v/>
      </c>
      <c r="I270" s="216" t="str">
        <f>_xlfn.XLOOKUP($H270,'(backend scoring)'!$S$2:$S$333,'(backend scoring)'!$A$2:$A$333,"")</f>
        <v/>
      </c>
      <c r="J270" s="216" t="str">
        <f>IFERROR(VLOOKUP($I270,'Institution Evaluation'!$A$55:$F$346,2,0),IFERROR(VLOOKUP($I270,'Privacy Analyst Evaluation'!$A$46:$F$120,2,0),""))</f>
        <v/>
      </c>
      <c r="K270" s="216" t="str">
        <f>IFERROR(VLOOKUP($I270,'Institution Evaluation'!$A$55:$F$346,3,0),IFERROR(VLOOKUP($I270,'Privacy Analyst Evaluation'!$A$46:$F$120,3,0),""))&amp;""</f>
        <v/>
      </c>
      <c r="L270" s="216" t="str">
        <f>IFERROR(VLOOKUP($I270,'Institution Evaluation'!$A$55:$F$346,4,0),IFERROR(VLOOKUP($I270,'Privacy Analyst Evaluation'!$A$46:$F$120,4,0),""))&amp;""</f>
        <v/>
      </c>
      <c r="M270" s="216" t="str">
        <f>IFERROR(VLOOKUP($I270,'Institution Evaluation'!$A$55:$F$346,6,0),IFERROR(VLOOKUP($I270,'Privacy Analyst Evaluation'!$A$46:$F$120,6,0),""))&amp;""</f>
        <v/>
      </c>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row>
    <row r="271" spans="1:338" x14ac:dyDescent="0.3">
      <c r="A271" s="216" t="str">
        <f>IFERROR(IF($A270+1&gt;'(backend scoring)'!$T$335,"",$A270+1),"")</f>
        <v/>
      </c>
      <c r="B271" s="216" t="str">
        <f>_xlfn.XLOOKUP($A271,'(backend scoring)'!$V$2:$V$333,'(backend scoring)'!$A$2:$A$333,"")</f>
        <v/>
      </c>
      <c r="C271" s="216" t="str">
        <f>IFERROR(VLOOKUP($B271,'Institution Evaluation'!$A$55:$F$346,2,0),IFERROR(VLOOKUP($B271,'Privacy Analyst Evaluation'!$A$46:$F$120,2,0),""))&amp;""</f>
        <v/>
      </c>
      <c r="D271" s="216" t="str">
        <f>IFERROR(VLOOKUP($B271,'Institution Evaluation'!$A$55:$F$346,3,0),IFERROR(VLOOKUP($B271,'Privacy Analyst Evaluation'!$A$46:$F$120,3,0),""))&amp;""</f>
        <v/>
      </c>
      <c r="E271" s="216" t="str">
        <f>IFERROR(VLOOKUP($B271,'Institution Evaluation'!$A$55:$F$346,4,0),IFERROR(VLOOKUP($B271,'Privacy Analyst Evaluation'!$A$46:$F$120,4,0),""))&amp;""</f>
        <v/>
      </c>
      <c r="F271" s="216" t="str">
        <f>IFERROR(VLOOKUP($B271,'Institution Evaluation'!$A$55:$F$346,6,0),IFERROR(VLOOKUP($B271,'Privacy Analyst Evaluation'!$A$46:$F$120,6,0),""))&amp;""</f>
        <v/>
      </c>
      <c r="G271" s="217"/>
      <c r="H271" s="216" t="str">
        <f>IFERROR(IF($H270+1&gt;'(backend scoring)'!$Q$335,"",$H270+1),"")</f>
        <v/>
      </c>
      <c r="I271" s="216" t="str">
        <f>_xlfn.XLOOKUP($H271,'(backend scoring)'!$S$2:$S$333,'(backend scoring)'!$A$2:$A$333,"")</f>
        <v/>
      </c>
      <c r="J271" s="216" t="str">
        <f>IFERROR(VLOOKUP($I271,'Institution Evaluation'!$A$55:$F$346,2,0),IFERROR(VLOOKUP($I271,'Privacy Analyst Evaluation'!$A$46:$F$120,2,0),""))</f>
        <v/>
      </c>
      <c r="K271" s="216" t="str">
        <f>IFERROR(VLOOKUP($I271,'Institution Evaluation'!$A$55:$F$346,3,0),IFERROR(VLOOKUP($I271,'Privacy Analyst Evaluation'!$A$46:$F$120,3,0),""))&amp;""</f>
        <v/>
      </c>
      <c r="L271" s="216" t="str">
        <f>IFERROR(VLOOKUP($I271,'Institution Evaluation'!$A$55:$F$346,4,0),IFERROR(VLOOKUP($I271,'Privacy Analyst Evaluation'!$A$46:$F$120,4,0),""))&amp;""</f>
        <v/>
      </c>
      <c r="M271" s="216" t="str">
        <f>IFERROR(VLOOKUP($I271,'Institution Evaluation'!$A$55:$F$346,6,0),IFERROR(VLOOKUP($I271,'Privacy Analyst Evaluation'!$A$46:$F$120,6,0),""))&amp;""</f>
        <v/>
      </c>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row>
    <row r="272" spans="1:338" x14ac:dyDescent="0.3">
      <c r="A272" s="216" t="str">
        <f>IFERROR(IF($A271+1&gt;'(backend scoring)'!$T$335,"",$A271+1),"")</f>
        <v/>
      </c>
      <c r="B272" s="216" t="str">
        <f>_xlfn.XLOOKUP($A272,'(backend scoring)'!$V$2:$V$333,'(backend scoring)'!$A$2:$A$333,"")</f>
        <v/>
      </c>
      <c r="C272" s="216" t="str">
        <f>IFERROR(VLOOKUP($B272,'Institution Evaluation'!$A$55:$F$346,2,0),IFERROR(VLOOKUP($B272,'Privacy Analyst Evaluation'!$A$46:$F$120,2,0),""))&amp;""</f>
        <v/>
      </c>
      <c r="D272" s="216" t="str">
        <f>IFERROR(VLOOKUP($B272,'Institution Evaluation'!$A$55:$F$346,3,0),IFERROR(VLOOKUP($B272,'Privacy Analyst Evaluation'!$A$46:$F$120,3,0),""))&amp;""</f>
        <v/>
      </c>
      <c r="E272" s="216" t="str">
        <f>IFERROR(VLOOKUP($B272,'Institution Evaluation'!$A$55:$F$346,4,0),IFERROR(VLOOKUP($B272,'Privacy Analyst Evaluation'!$A$46:$F$120,4,0),""))&amp;""</f>
        <v/>
      </c>
      <c r="F272" s="216" t="str">
        <f>IFERROR(VLOOKUP($B272,'Institution Evaluation'!$A$55:$F$346,6,0),IFERROR(VLOOKUP($B272,'Privacy Analyst Evaluation'!$A$46:$F$120,6,0),""))&amp;""</f>
        <v/>
      </c>
      <c r="G272" s="217"/>
      <c r="H272" s="216" t="str">
        <f>IFERROR(IF($H271+1&gt;'(backend scoring)'!$Q$335,"",$H271+1),"")</f>
        <v/>
      </c>
      <c r="I272" s="216" t="str">
        <f>_xlfn.XLOOKUP($H272,'(backend scoring)'!$S$2:$S$333,'(backend scoring)'!$A$2:$A$333,"")</f>
        <v/>
      </c>
      <c r="J272" s="216" t="str">
        <f>IFERROR(VLOOKUP($I272,'Institution Evaluation'!$A$55:$F$346,2,0),IFERROR(VLOOKUP($I272,'Privacy Analyst Evaluation'!$A$46:$F$120,2,0),""))</f>
        <v/>
      </c>
      <c r="K272" s="216" t="str">
        <f>IFERROR(VLOOKUP($I272,'Institution Evaluation'!$A$55:$F$346,3,0),IFERROR(VLOOKUP($I272,'Privacy Analyst Evaluation'!$A$46:$F$120,3,0),""))&amp;""</f>
        <v/>
      </c>
      <c r="L272" s="216" t="str">
        <f>IFERROR(VLOOKUP($I272,'Institution Evaluation'!$A$55:$F$346,4,0),IFERROR(VLOOKUP($I272,'Privacy Analyst Evaluation'!$A$46:$F$120,4,0),""))&amp;""</f>
        <v/>
      </c>
      <c r="M272" s="216" t="str">
        <f>IFERROR(VLOOKUP($I272,'Institution Evaluation'!$A$55:$F$346,6,0),IFERROR(VLOOKUP($I272,'Privacy Analyst Evaluation'!$A$46:$F$120,6,0),""))&amp;""</f>
        <v/>
      </c>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row>
    <row r="273" spans="1:338" x14ac:dyDescent="0.3">
      <c r="A273" s="216" t="str">
        <f>IFERROR(IF($A272+1&gt;'(backend scoring)'!$T$335,"",$A272+1),"")</f>
        <v/>
      </c>
      <c r="B273" s="216" t="str">
        <f>_xlfn.XLOOKUP($A273,'(backend scoring)'!$V$2:$V$333,'(backend scoring)'!$A$2:$A$333,"")</f>
        <v/>
      </c>
      <c r="C273" s="216" t="str">
        <f>IFERROR(VLOOKUP($B273,'Institution Evaluation'!$A$55:$F$346,2,0),IFERROR(VLOOKUP($B273,'Privacy Analyst Evaluation'!$A$46:$F$120,2,0),""))&amp;""</f>
        <v/>
      </c>
      <c r="D273" s="216" t="str">
        <f>IFERROR(VLOOKUP($B273,'Institution Evaluation'!$A$55:$F$346,3,0),IFERROR(VLOOKUP($B273,'Privacy Analyst Evaluation'!$A$46:$F$120,3,0),""))&amp;""</f>
        <v/>
      </c>
      <c r="E273" s="216" t="str">
        <f>IFERROR(VLOOKUP($B273,'Institution Evaluation'!$A$55:$F$346,4,0),IFERROR(VLOOKUP($B273,'Privacy Analyst Evaluation'!$A$46:$F$120,4,0),""))&amp;""</f>
        <v/>
      </c>
      <c r="F273" s="216" t="str">
        <f>IFERROR(VLOOKUP($B273,'Institution Evaluation'!$A$55:$F$346,6,0),IFERROR(VLOOKUP($B273,'Privacy Analyst Evaluation'!$A$46:$F$120,6,0),""))&amp;""</f>
        <v/>
      </c>
      <c r="G273" s="217"/>
      <c r="H273" s="216" t="str">
        <f>IFERROR(IF($H272+1&gt;'(backend scoring)'!$Q$335,"",$H272+1),"")</f>
        <v/>
      </c>
      <c r="I273" s="216" t="str">
        <f>_xlfn.XLOOKUP($H273,'(backend scoring)'!$S$2:$S$333,'(backend scoring)'!$A$2:$A$333,"")</f>
        <v/>
      </c>
      <c r="J273" s="216" t="str">
        <f>IFERROR(VLOOKUP($I273,'Institution Evaluation'!$A$55:$F$346,2,0),IFERROR(VLOOKUP($I273,'Privacy Analyst Evaluation'!$A$46:$F$120,2,0),""))</f>
        <v/>
      </c>
      <c r="K273" s="216" t="str">
        <f>IFERROR(VLOOKUP($I273,'Institution Evaluation'!$A$55:$F$346,3,0),IFERROR(VLOOKUP($I273,'Privacy Analyst Evaluation'!$A$46:$F$120,3,0),""))&amp;""</f>
        <v/>
      </c>
      <c r="L273" s="216" t="str">
        <f>IFERROR(VLOOKUP($I273,'Institution Evaluation'!$A$55:$F$346,4,0),IFERROR(VLOOKUP($I273,'Privacy Analyst Evaluation'!$A$46:$F$120,4,0),""))&amp;""</f>
        <v/>
      </c>
      <c r="M273" s="216" t="str">
        <f>IFERROR(VLOOKUP($I273,'Institution Evaluation'!$A$55:$F$346,6,0),IFERROR(VLOOKUP($I273,'Privacy Analyst Evaluation'!$A$46:$F$120,6,0),""))&amp;""</f>
        <v/>
      </c>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row>
    <row r="274" spans="1:338" x14ac:dyDescent="0.3">
      <c r="A274" s="216" t="str">
        <f>IFERROR(IF($A273+1&gt;'(backend scoring)'!$T$335,"",$A273+1),"")</f>
        <v/>
      </c>
      <c r="B274" s="216" t="str">
        <f>_xlfn.XLOOKUP($A274,'(backend scoring)'!$V$2:$V$333,'(backend scoring)'!$A$2:$A$333,"")</f>
        <v/>
      </c>
      <c r="C274" s="216" t="str">
        <f>IFERROR(VLOOKUP($B274,'Institution Evaluation'!$A$55:$F$346,2,0),IFERROR(VLOOKUP($B274,'Privacy Analyst Evaluation'!$A$46:$F$120,2,0),""))&amp;""</f>
        <v/>
      </c>
      <c r="D274" s="216" t="str">
        <f>IFERROR(VLOOKUP($B274,'Institution Evaluation'!$A$55:$F$346,3,0),IFERROR(VLOOKUP($B274,'Privacy Analyst Evaluation'!$A$46:$F$120,3,0),""))&amp;""</f>
        <v/>
      </c>
      <c r="E274" s="216" t="str">
        <f>IFERROR(VLOOKUP($B274,'Institution Evaluation'!$A$55:$F$346,4,0),IFERROR(VLOOKUP($B274,'Privacy Analyst Evaluation'!$A$46:$F$120,4,0),""))&amp;""</f>
        <v/>
      </c>
      <c r="F274" s="216" t="str">
        <f>IFERROR(VLOOKUP($B274,'Institution Evaluation'!$A$55:$F$346,6,0),IFERROR(VLOOKUP($B274,'Privacy Analyst Evaluation'!$A$46:$F$120,6,0),""))&amp;""</f>
        <v/>
      </c>
      <c r="G274" s="217"/>
      <c r="H274" s="216" t="str">
        <f>IFERROR(IF($H273+1&gt;'(backend scoring)'!$Q$335,"",$H273+1),"")</f>
        <v/>
      </c>
      <c r="I274" s="216" t="str">
        <f>_xlfn.XLOOKUP($H274,'(backend scoring)'!$S$2:$S$333,'(backend scoring)'!$A$2:$A$333,"")</f>
        <v/>
      </c>
      <c r="J274" s="216" t="str">
        <f>IFERROR(VLOOKUP($I274,'Institution Evaluation'!$A$55:$F$346,2,0),IFERROR(VLOOKUP($I274,'Privacy Analyst Evaluation'!$A$46:$F$120,2,0),""))</f>
        <v/>
      </c>
      <c r="K274" s="216" t="str">
        <f>IFERROR(VLOOKUP($I274,'Institution Evaluation'!$A$55:$F$346,3,0),IFERROR(VLOOKUP($I274,'Privacy Analyst Evaluation'!$A$46:$F$120,3,0),""))&amp;""</f>
        <v/>
      </c>
      <c r="L274" s="216" t="str">
        <f>IFERROR(VLOOKUP($I274,'Institution Evaluation'!$A$55:$F$346,4,0),IFERROR(VLOOKUP($I274,'Privacy Analyst Evaluation'!$A$46:$F$120,4,0),""))&amp;""</f>
        <v/>
      </c>
      <c r="M274" s="216" t="str">
        <f>IFERROR(VLOOKUP($I274,'Institution Evaluation'!$A$55:$F$346,6,0),IFERROR(VLOOKUP($I274,'Privacy Analyst Evaluation'!$A$46:$F$120,6,0),""))&amp;""</f>
        <v/>
      </c>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row>
    <row r="275" spans="1:338" x14ac:dyDescent="0.3">
      <c r="A275" s="216" t="str">
        <f>IFERROR(IF($A274+1&gt;'(backend scoring)'!$T$335,"",$A274+1),"")</f>
        <v/>
      </c>
      <c r="B275" s="216" t="str">
        <f>_xlfn.XLOOKUP($A275,'(backend scoring)'!$V$2:$V$333,'(backend scoring)'!$A$2:$A$333,"")</f>
        <v/>
      </c>
      <c r="C275" s="216" t="str">
        <f>IFERROR(VLOOKUP($B275,'Institution Evaluation'!$A$55:$F$346,2,0),IFERROR(VLOOKUP($B275,'Privacy Analyst Evaluation'!$A$46:$F$120,2,0),""))&amp;""</f>
        <v/>
      </c>
      <c r="D275" s="216" t="str">
        <f>IFERROR(VLOOKUP($B275,'Institution Evaluation'!$A$55:$F$346,3,0),IFERROR(VLOOKUP($B275,'Privacy Analyst Evaluation'!$A$46:$F$120,3,0),""))&amp;""</f>
        <v/>
      </c>
      <c r="E275" s="216" t="str">
        <f>IFERROR(VLOOKUP($B275,'Institution Evaluation'!$A$55:$F$346,4,0),IFERROR(VLOOKUP($B275,'Privacy Analyst Evaluation'!$A$46:$F$120,4,0),""))&amp;""</f>
        <v/>
      </c>
      <c r="F275" s="216" t="str">
        <f>IFERROR(VLOOKUP($B275,'Institution Evaluation'!$A$55:$F$346,6,0),IFERROR(VLOOKUP($B275,'Privacy Analyst Evaluation'!$A$46:$F$120,6,0),""))&amp;""</f>
        <v/>
      </c>
      <c r="G275" s="217"/>
      <c r="H275" s="216" t="str">
        <f>IFERROR(IF($H274+1&gt;'(backend scoring)'!$Q$335,"",$H274+1),"")</f>
        <v/>
      </c>
      <c r="I275" s="216" t="str">
        <f>_xlfn.XLOOKUP($H275,'(backend scoring)'!$S$2:$S$333,'(backend scoring)'!$A$2:$A$333,"")</f>
        <v/>
      </c>
      <c r="J275" s="216" t="str">
        <f>IFERROR(VLOOKUP($I275,'Institution Evaluation'!$A$55:$F$346,2,0),IFERROR(VLOOKUP($I275,'Privacy Analyst Evaluation'!$A$46:$F$120,2,0),""))</f>
        <v/>
      </c>
      <c r="K275" s="216" t="str">
        <f>IFERROR(VLOOKUP($I275,'Institution Evaluation'!$A$55:$F$346,3,0),IFERROR(VLOOKUP($I275,'Privacy Analyst Evaluation'!$A$46:$F$120,3,0),""))&amp;""</f>
        <v/>
      </c>
      <c r="L275" s="216" t="str">
        <f>IFERROR(VLOOKUP($I275,'Institution Evaluation'!$A$55:$F$346,4,0),IFERROR(VLOOKUP($I275,'Privacy Analyst Evaluation'!$A$46:$F$120,4,0),""))&amp;""</f>
        <v/>
      </c>
      <c r="M275" s="216" t="str">
        <f>IFERROR(VLOOKUP($I275,'Institution Evaluation'!$A$55:$F$346,6,0),IFERROR(VLOOKUP($I275,'Privacy Analyst Evaluation'!$A$46:$F$120,6,0),""))&amp;""</f>
        <v/>
      </c>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row>
    <row r="276" spans="1:338" x14ac:dyDescent="0.3">
      <c r="A276" s="216" t="str">
        <f>IFERROR(IF($A275+1&gt;'(backend scoring)'!$T$335,"",$A275+1),"")</f>
        <v/>
      </c>
      <c r="B276" s="216" t="str">
        <f>_xlfn.XLOOKUP($A276,'(backend scoring)'!$V$2:$V$333,'(backend scoring)'!$A$2:$A$333,"")</f>
        <v/>
      </c>
      <c r="C276" s="216" t="str">
        <f>IFERROR(VLOOKUP($B276,'Institution Evaluation'!$A$55:$F$346,2,0),IFERROR(VLOOKUP($B276,'Privacy Analyst Evaluation'!$A$46:$F$120,2,0),""))&amp;""</f>
        <v/>
      </c>
      <c r="D276" s="216" t="str">
        <f>IFERROR(VLOOKUP($B276,'Institution Evaluation'!$A$55:$F$346,3,0),IFERROR(VLOOKUP($B276,'Privacy Analyst Evaluation'!$A$46:$F$120,3,0),""))&amp;""</f>
        <v/>
      </c>
      <c r="E276" s="216" t="str">
        <f>IFERROR(VLOOKUP($B276,'Institution Evaluation'!$A$55:$F$346,4,0),IFERROR(VLOOKUP($B276,'Privacy Analyst Evaluation'!$A$46:$F$120,4,0),""))&amp;""</f>
        <v/>
      </c>
      <c r="F276" s="216" t="str">
        <f>IFERROR(VLOOKUP($B276,'Institution Evaluation'!$A$55:$F$346,6,0),IFERROR(VLOOKUP($B276,'Privacy Analyst Evaluation'!$A$46:$F$120,6,0),""))&amp;""</f>
        <v/>
      </c>
      <c r="G276" s="217"/>
      <c r="H276" s="216" t="str">
        <f>IFERROR(IF($H275+1&gt;'(backend scoring)'!$Q$335,"",$H275+1),"")</f>
        <v/>
      </c>
      <c r="I276" s="216" t="str">
        <f>_xlfn.XLOOKUP($H276,'(backend scoring)'!$S$2:$S$333,'(backend scoring)'!$A$2:$A$333,"")</f>
        <v/>
      </c>
      <c r="J276" s="216" t="str">
        <f>IFERROR(VLOOKUP($I276,'Institution Evaluation'!$A$55:$F$346,2,0),IFERROR(VLOOKUP($I276,'Privacy Analyst Evaluation'!$A$46:$F$120,2,0),""))</f>
        <v/>
      </c>
      <c r="K276" s="216" t="str">
        <f>IFERROR(VLOOKUP($I276,'Institution Evaluation'!$A$55:$F$346,3,0),IFERROR(VLOOKUP($I276,'Privacy Analyst Evaluation'!$A$46:$F$120,3,0),""))&amp;""</f>
        <v/>
      </c>
      <c r="L276" s="216" t="str">
        <f>IFERROR(VLOOKUP($I276,'Institution Evaluation'!$A$55:$F$346,4,0),IFERROR(VLOOKUP($I276,'Privacy Analyst Evaluation'!$A$46:$F$120,4,0),""))&amp;""</f>
        <v/>
      </c>
      <c r="M276" s="216" t="str">
        <f>IFERROR(VLOOKUP($I276,'Institution Evaluation'!$A$55:$F$346,6,0),IFERROR(VLOOKUP($I276,'Privacy Analyst Evaluation'!$A$46:$F$120,6,0),""))&amp;""</f>
        <v/>
      </c>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row>
    <row r="277" spans="1:338" x14ac:dyDescent="0.3">
      <c r="A277" s="216" t="str">
        <f>IFERROR(IF($A276+1&gt;'(backend scoring)'!$T$335,"",$A276+1),"")</f>
        <v/>
      </c>
      <c r="B277" s="216" t="str">
        <f>_xlfn.XLOOKUP($A277,'(backend scoring)'!$V$2:$V$333,'(backend scoring)'!$A$2:$A$333,"")</f>
        <v/>
      </c>
      <c r="C277" s="216" t="str">
        <f>IFERROR(VLOOKUP($B277,'Institution Evaluation'!$A$55:$F$346,2,0),IFERROR(VLOOKUP($B277,'Privacy Analyst Evaluation'!$A$46:$F$120,2,0),""))&amp;""</f>
        <v/>
      </c>
      <c r="D277" s="216" t="str">
        <f>IFERROR(VLOOKUP($B277,'Institution Evaluation'!$A$55:$F$346,3,0),IFERROR(VLOOKUP($B277,'Privacy Analyst Evaluation'!$A$46:$F$120,3,0),""))&amp;""</f>
        <v/>
      </c>
      <c r="E277" s="216" t="str">
        <f>IFERROR(VLOOKUP($B277,'Institution Evaluation'!$A$55:$F$346,4,0),IFERROR(VLOOKUP($B277,'Privacy Analyst Evaluation'!$A$46:$F$120,4,0),""))&amp;""</f>
        <v/>
      </c>
      <c r="F277" s="216" t="str">
        <f>IFERROR(VLOOKUP($B277,'Institution Evaluation'!$A$55:$F$346,6,0),IFERROR(VLOOKUP($B277,'Privacy Analyst Evaluation'!$A$46:$F$120,6,0),""))&amp;""</f>
        <v/>
      </c>
      <c r="G277" s="217"/>
      <c r="H277" s="216" t="str">
        <f>IFERROR(IF($H276+1&gt;'(backend scoring)'!$Q$335,"",$H276+1),"")</f>
        <v/>
      </c>
      <c r="I277" s="216" t="str">
        <f>_xlfn.XLOOKUP($H277,'(backend scoring)'!$S$2:$S$333,'(backend scoring)'!$A$2:$A$333,"")</f>
        <v/>
      </c>
      <c r="J277" s="216" t="str">
        <f>IFERROR(VLOOKUP($I277,'Institution Evaluation'!$A$55:$F$346,2,0),IFERROR(VLOOKUP($I277,'Privacy Analyst Evaluation'!$A$46:$F$120,2,0),""))</f>
        <v/>
      </c>
      <c r="K277" s="216" t="str">
        <f>IFERROR(VLOOKUP($I277,'Institution Evaluation'!$A$55:$F$346,3,0),IFERROR(VLOOKUP($I277,'Privacy Analyst Evaluation'!$A$46:$F$120,3,0),""))&amp;""</f>
        <v/>
      </c>
      <c r="L277" s="216" t="str">
        <f>IFERROR(VLOOKUP($I277,'Institution Evaluation'!$A$55:$F$346,4,0),IFERROR(VLOOKUP($I277,'Privacy Analyst Evaluation'!$A$46:$F$120,4,0),""))&amp;""</f>
        <v/>
      </c>
      <c r="M277" s="216" t="str">
        <f>IFERROR(VLOOKUP($I277,'Institution Evaluation'!$A$55:$F$346,6,0),IFERROR(VLOOKUP($I277,'Privacy Analyst Evaluation'!$A$46:$F$120,6,0),""))&amp;""</f>
        <v/>
      </c>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row>
    <row r="278" spans="1:338" x14ac:dyDescent="0.3">
      <c r="A278" s="216" t="str">
        <f>IFERROR(IF($A277+1&gt;'(backend scoring)'!$T$335,"",$A277+1),"")</f>
        <v/>
      </c>
      <c r="B278" s="216" t="str">
        <f>_xlfn.XLOOKUP($A278,'(backend scoring)'!$V$2:$V$333,'(backend scoring)'!$A$2:$A$333,"")</f>
        <v/>
      </c>
      <c r="C278" s="216" t="str">
        <f>IFERROR(VLOOKUP($B278,'Institution Evaluation'!$A$55:$F$346,2,0),IFERROR(VLOOKUP($B278,'Privacy Analyst Evaluation'!$A$46:$F$120,2,0),""))&amp;""</f>
        <v/>
      </c>
      <c r="D278" s="216" t="str">
        <f>IFERROR(VLOOKUP($B278,'Institution Evaluation'!$A$55:$F$346,3,0),IFERROR(VLOOKUP($B278,'Privacy Analyst Evaluation'!$A$46:$F$120,3,0),""))&amp;""</f>
        <v/>
      </c>
      <c r="E278" s="216" t="str">
        <f>IFERROR(VLOOKUP($B278,'Institution Evaluation'!$A$55:$F$346,4,0),IFERROR(VLOOKUP($B278,'Privacy Analyst Evaluation'!$A$46:$F$120,4,0),""))&amp;""</f>
        <v/>
      </c>
      <c r="F278" s="216" t="str">
        <f>IFERROR(VLOOKUP($B278,'Institution Evaluation'!$A$55:$F$346,6,0),IFERROR(VLOOKUP($B278,'Privacy Analyst Evaluation'!$A$46:$F$120,6,0),""))&amp;""</f>
        <v/>
      </c>
      <c r="G278" s="217"/>
      <c r="H278" s="216" t="str">
        <f>IFERROR(IF($H277+1&gt;'(backend scoring)'!$Q$335,"",$H277+1),"")</f>
        <v/>
      </c>
      <c r="I278" s="216" t="str">
        <f>_xlfn.XLOOKUP($H278,'(backend scoring)'!$S$2:$S$333,'(backend scoring)'!$A$2:$A$333,"")</f>
        <v/>
      </c>
      <c r="J278" s="216" t="str">
        <f>IFERROR(VLOOKUP($I278,'Institution Evaluation'!$A$55:$F$346,2,0),IFERROR(VLOOKUP($I278,'Privacy Analyst Evaluation'!$A$46:$F$120,2,0),""))</f>
        <v/>
      </c>
      <c r="K278" s="216" t="str">
        <f>IFERROR(VLOOKUP($I278,'Institution Evaluation'!$A$55:$F$346,3,0),IFERROR(VLOOKUP($I278,'Privacy Analyst Evaluation'!$A$46:$F$120,3,0),""))&amp;""</f>
        <v/>
      </c>
      <c r="L278" s="216" t="str">
        <f>IFERROR(VLOOKUP($I278,'Institution Evaluation'!$A$55:$F$346,4,0),IFERROR(VLOOKUP($I278,'Privacy Analyst Evaluation'!$A$46:$F$120,4,0),""))&amp;""</f>
        <v/>
      </c>
      <c r="M278" s="216" t="str">
        <f>IFERROR(VLOOKUP($I278,'Institution Evaluation'!$A$55:$F$346,6,0),IFERROR(VLOOKUP($I278,'Privacy Analyst Evaluation'!$A$46:$F$120,6,0),""))&amp;""</f>
        <v/>
      </c>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row>
    <row r="279" spans="1:338" x14ac:dyDescent="0.3">
      <c r="A279" s="216" t="str">
        <f>IFERROR(IF($A278+1&gt;'(backend scoring)'!$T$335,"",$A278+1),"")</f>
        <v/>
      </c>
      <c r="B279" s="216" t="str">
        <f>_xlfn.XLOOKUP($A279,'(backend scoring)'!$V$2:$V$333,'(backend scoring)'!$A$2:$A$333,"")</f>
        <v/>
      </c>
      <c r="C279" s="216" t="str">
        <f>IFERROR(VLOOKUP($B279,'Institution Evaluation'!$A$55:$F$346,2,0),IFERROR(VLOOKUP($B279,'Privacy Analyst Evaluation'!$A$46:$F$120,2,0),""))&amp;""</f>
        <v/>
      </c>
      <c r="D279" s="216" t="str">
        <f>IFERROR(VLOOKUP($B279,'Institution Evaluation'!$A$55:$F$346,3,0),IFERROR(VLOOKUP($B279,'Privacy Analyst Evaluation'!$A$46:$F$120,3,0),""))&amp;""</f>
        <v/>
      </c>
      <c r="E279" s="216" t="str">
        <f>IFERROR(VLOOKUP($B279,'Institution Evaluation'!$A$55:$F$346,4,0),IFERROR(VLOOKUP($B279,'Privacy Analyst Evaluation'!$A$46:$F$120,4,0),""))&amp;""</f>
        <v/>
      </c>
      <c r="F279" s="216" t="str">
        <f>IFERROR(VLOOKUP($B279,'Institution Evaluation'!$A$55:$F$346,6,0),IFERROR(VLOOKUP($B279,'Privacy Analyst Evaluation'!$A$46:$F$120,6,0),""))&amp;""</f>
        <v/>
      </c>
      <c r="G279" s="217"/>
      <c r="H279" s="216" t="str">
        <f>IFERROR(IF($H278+1&gt;'(backend scoring)'!$Q$335,"",$H278+1),"")</f>
        <v/>
      </c>
      <c r="I279" s="216" t="str">
        <f>_xlfn.XLOOKUP($H279,'(backend scoring)'!$S$2:$S$333,'(backend scoring)'!$A$2:$A$333,"")</f>
        <v/>
      </c>
      <c r="J279" s="216" t="str">
        <f>IFERROR(VLOOKUP($I279,'Institution Evaluation'!$A$55:$F$346,2,0),IFERROR(VLOOKUP($I279,'Privacy Analyst Evaluation'!$A$46:$F$120,2,0),""))</f>
        <v/>
      </c>
      <c r="K279" s="216" t="str">
        <f>IFERROR(VLOOKUP($I279,'Institution Evaluation'!$A$55:$F$346,3,0),IFERROR(VLOOKUP($I279,'Privacy Analyst Evaluation'!$A$46:$F$120,3,0),""))&amp;""</f>
        <v/>
      </c>
      <c r="L279" s="216" t="str">
        <f>IFERROR(VLOOKUP($I279,'Institution Evaluation'!$A$55:$F$346,4,0),IFERROR(VLOOKUP($I279,'Privacy Analyst Evaluation'!$A$46:$F$120,4,0),""))&amp;""</f>
        <v/>
      </c>
      <c r="M279" s="216" t="str">
        <f>IFERROR(VLOOKUP($I279,'Institution Evaluation'!$A$55:$F$346,6,0),IFERROR(VLOOKUP($I279,'Privacy Analyst Evaluation'!$A$46:$F$120,6,0),""))&amp;""</f>
        <v/>
      </c>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row>
    <row r="280" spans="1:338" x14ac:dyDescent="0.3">
      <c r="A280" s="216" t="str">
        <f>IFERROR(IF($A279+1&gt;'(backend scoring)'!$T$335,"",$A279+1),"")</f>
        <v/>
      </c>
      <c r="B280" s="216" t="str">
        <f>_xlfn.XLOOKUP($A280,'(backend scoring)'!$V$2:$V$333,'(backend scoring)'!$A$2:$A$333,"")</f>
        <v/>
      </c>
      <c r="C280" s="216" t="str">
        <f>IFERROR(VLOOKUP($B280,'Institution Evaluation'!$A$55:$F$346,2,0),IFERROR(VLOOKUP($B280,'Privacy Analyst Evaluation'!$A$46:$F$120,2,0),""))&amp;""</f>
        <v/>
      </c>
      <c r="D280" s="216" t="str">
        <f>IFERROR(VLOOKUP($B280,'Institution Evaluation'!$A$55:$F$346,3,0),IFERROR(VLOOKUP($B280,'Privacy Analyst Evaluation'!$A$46:$F$120,3,0),""))&amp;""</f>
        <v/>
      </c>
      <c r="E280" s="216" t="str">
        <f>IFERROR(VLOOKUP($B280,'Institution Evaluation'!$A$55:$F$346,4,0),IFERROR(VLOOKUP($B280,'Privacy Analyst Evaluation'!$A$46:$F$120,4,0),""))&amp;""</f>
        <v/>
      </c>
      <c r="F280" s="216" t="str">
        <f>IFERROR(VLOOKUP($B280,'Institution Evaluation'!$A$55:$F$346,6,0),IFERROR(VLOOKUP($B280,'Privacy Analyst Evaluation'!$A$46:$F$120,6,0),""))&amp;""</f>
        <v/>
      </c>
      <c r="G280" s="217"/>
      <c r="H280" s="216" t="str">
        <f>IFERROR(IF($H279+1&gt;'(backend scoring)'!$Q$335,"",$H279+1),"")</f>
        <v/>
      </c>
      <c r="I280" s="216" t="str">
        <f>_xlfn.XLOOKUP($H280,'(backend scoring)'!$S$2:$S$333,'(backend scoring)'!$A$2:$A$333,"")</f>
        <v/>
      </c>
      <c r="J280" s="216" t="str">
        <f>IFERROR(VLOOKUP($I280,'Institution Evaluation'!$A$55:$F$346,2,0),IFERROR(VLOOKUP($I280,'Privacy Analyst Evaluation'!$A$46:$F$120,2,0),""))</f>
        <v/>
      </c>
      <c r="K280" s="216" t="str">
        <f>IFERROR(VLOOKUP($I280,'Institution Evaluation'!$A$55:$F$346,3,0),IFERROR(VLOOKUP($I280,'Privacy Analyst Evaluation'!$A$46:$F$120,3,0),""))&amp;""</f>
        <v/>
      </c>
      <c r="L280" s="216" t="str">
        <f>IFERROR(VLOOKUP($I280,'Institution Evaluation'!$A$55:$F$346,4,0),IFERROR(VLOOKUP($I280,'Privacy Analyst Evaluation'!$A$46:$F$120,4,0),""))&amp;""</f>
        <v/>
      </c>
      <c r="M280" s="216" t="str">
        <f>IFERROR(VLOOKUP($I280,'Institution Evaluation'!$A$55:$F$346,6,0),IFERROR(VLOOKUP($I280,'Privacy Analyst Evaluation'!$A$46:$F$120,6,0),""))&amp;""</f>
        <v/>
      </c>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row>
    <row r="281" spans="1:338" x14ac:dyDescent="0.3">
      <c r="A281" s="216" t="str">
        <f>IFERROR(IF($A280+1&gt;'(backend scoring)'!$T$335,"",$A280+1),"")</f>
        <v/>
      </c>
      <c r="B281" s="216" t="str">
        <f>_xlfn.XLOOKUP($A281,'(backend scoring)'!$V$2:$V$333,'(backend scoring)'!$A$2:$A$333,"")</f>
        <v/>
      </c>
      <c r="C281" s="216" t="str">
        <f>IFERROR(VLOOKUP($B281,'Institution Evaluation'!$A$55:$F$346,2,0),IFERROR(VLOOKUP($B281,'Privacy Analyst Evaluation'!$A$46:$F$120,2,0),""))&amp;""</f>
        <v/>
      </c>
      <c r="D281" s="216" t="str">
        <f>IFERROR(VLOOKUP($B281,'Institution Evaluation'!$A$55:$F$346,3,0),IFERROR(VLOOKUP($B281,'Privacy Analyst Evaluation'!$A$46:$F$120,3,0),""))&amp;""</f>
        <v/>
      </c>
      <c r="E281" s="216" t="str">
        <f>IFERROR(VLOOKUP($B281,'Institution Evaluation'!$A$55:$F$346,4,0),IFERROR(VLOOKUP($B281,'Privacy Analyst Evaluation'!$A$46:$F$120,4,0),""))&amp;""</f>
        <v/>
      </c>
      <c r="F281" s="216" t="str">
        <f>IFERROR(VLOOKUP($B281,'Institution Evaluation'!$A$55:$F$346,6,0),IFERROR(VLOOKUP($B281,'Privacy Analyst Evaluation'!$A$46:$F$120,6,0),""))&amp;""</f>
        <v/>
      </c>
      <c r="G281" s="217"/>
      <c r="H281" s="216" t="str">
        <f>IFERROR(IF($H280+1&gt;'(backend scoring)'!$Q$335,"",$H280+1),"")</f>
        <v/>
      </c>
      <c r="I281" s="216" t="str">
        <f>_xlfn.XLOOKUP($H281,'(backend scoring)'!$S$2:$S$333,'(backend scoring)'!$A$2:$A$333,"")</f>
        <v/>
      </c>
      <c r="J281" s="216" t="str">
        <f>IFERROR(VLOOKUP($I281,'Institution Evaluation'!$A$55:$F$346,2,0),IFERROR(VLOOKUP($I281,'Privacy Analyst Evaluation'!$A$46:$F$120,2,0),""))</f>
        <v/>
      </c>
      <c r="K281" s="216" t="str">
        <f>IFERROR(VLOOKUP($I281,'Institution Evaluation'!$A$55:$F$346,3,0),IFERROR(VLOOKUP($I281,'Privacy Analyst Evaluation'!$A$46:$F$120,3,0),""))&amp;""</f>
        <v/>
      </c>
      <c r="L281" s="216" t="str">
        <f>IFERROR(VLOOKUP($I281,'Institution Evaluation'!$A$55:$F$346,4,0),IFERROR(VLOOKUP($I281,'Privacy Analyst Evaluation'!$A$46:$F$120,4,0),""))&amp;""</f>
        <v/>
      </c>
      <c r="M281" s="216" t="str">
        <f>IFERROR(VLOOKUP($I281,'Institution Evaluation'!$A$55:$F$346,6,0),IFERROR(VLOOKUP($I281,'Privacy Analyst Evaluation'!$A$46:$F$120,6,0),""))&amp;""</f>
        <v/>
      </c>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row>
    <row r="282" spans="1:338" x14ac:dyDescent="0.3">
      <c r="A282" s="216" t="str">
        <f>IFERROR(IF($A281+1&gt;'(backend scoring)'!$T$335,"",$A281+1),"")</f>
        <v/>
      </c>
      <c r="B282" s="216" t="str">
        <f>_xlfn.XLOOKUP($A282,'(backend scoring)'!$V$2:$V$333,'(backend scoring)'!$A$2:$A$333,"")</f>
        <v/>
      </c>
      <c r="C282" s="216" t="str">
        <f>IFERROR(VLOOKUP($B282,'Institution Evaluation'!$A$55:$F$346,2,0),IFERROR(VLOOKUP($B282,'Privacy Analyst Evaluation'!$A$46:$F$120,2,0),""))&amp;""</f>
        <v/>
      </c>
      <c r="D282" s="216" t="str">
        <f>IFERROR(VLOOKUP($B282,'Institution Evaluation'!$A$55:$F$346,3,0),IFERROR(VLOOKUP($B282,'Privacy Analyst Evaluation'!$A$46:$F$120,3,0),""))&amp;""</f>
        <v/>
      </c>
      <c r="E282" s="216" t="str">
        <f>IFERROR(VLOOKUP($B282,'Institution Evaluation'!$A$55:$F$346,4,0),IFERROR(VLOOKUP($B282,'Privacy Analyst Evaluation'!$A$46:$F$120,4,0),""))&amp;""</f>
        <v/>
      </c>
      <c r="F282" s="216" t="str">
        <f>IFERROR(VLOOKUP($B282,'Institution Evaluation'!$A$55:$F$346,6,0),IFERROR(VLOOKUP($B282,'Privacy Analyst Evaluation'!$A$46:$F$120,6,0),""))&amp;""</f>
        <v/>
      </c>
      <c r="G282" s="217"/>
      <c r="H282" s="216" t="str">
        <f>IFERROR(IF($H281+1&gt;'(backend scoring)'!$Q$335,"",$H281+1),"")</f>
        <v/>
      </c>
      <c r="I282" s="216" t="str">
        <f>_xlfn.XLOOKUP($H282,'(backend scoring)'!$S$2:$S$333,'(backend scoring)'!$A$2:$A$333,"")</f>
        <v/>
      </c>
      <c r="J282" s="216" t="str">
        <f>IFERROR(VLOOKUP($I282,'Institution Evaluation'!$A$55:$F$346,2,0),IFERROR(VLOOKUP($I282,'Privacy Analyst Evaluation'!$A$46:$F$120,2,0),""))</f>
        <v/>
      </c>
      <c r="K282" s="216" t="str">
        <f>IFERROR(VLOOKUP($I282,'Institution Evaluation'!$A$55:$F$346,3,0),IFERROR(VLOOKUP($I282,'Privacy Analyst Evaluation'!$A$46:$F$120,3,0),""))&amp;""</f>
        <v/>
      </c>
      <c r="L282" s="216" t="str">
        <f>IFERROR(VLOOKUP($I282,'Institution Evaluation'!$A$55:$F$346,4,0),IFERROR(VLOOKUP($I282,'Privacy Analyst Evaluation'!$A$46:$F$120,4,0),""))&amp;""</f>
        <v/>
      </c>
      <c r="M282" s="216" t="str">
        <f>IFERROR(VLOOKUP($I282,'Institution Evaluation'!$A$55:$F$346,6,0),IFERROR(VLOOKUP($I282,'Privacy Analyst Evaluation'!$A$46:$F$120,6,0),""))&amp;""</f>
        <v/>
      </c>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row>
    <row r="283" spans="1:338" x14ac:dyDescent="0.3">
      <c r="A283" s="216" t="str">
        <f>IFERROR(IF($A282+1&gt;'(backend scoring)'!$T$335,"",$A282+1),"")</f>
        <v/>
      </c>
      <c r="B283" s="216" t="str">
        <f>_xlfn.XLOOKUP($A283,'(backend scoring)'!$V$2:$V$333,'(backend scoring)'!$A$2:$A$333,"")</f>
        <v/>
      </c>
      <c r="C283" s="216" t="str">
        <f>IFERROR(VLOOKUP($B283,'Institution Evaluation'!$A$55:$F$346,2,0),IFERROR(VLOOKUP($B283,'Privacy Analyst Evaluation'!$A$46:$F$120,2,0),""))&amp;""</f>
        <v/>
      </c>
      <c r="D283" s="216" t="str">
        <f>IFERROR(VLOOKUP($B283,'Institution Evaluation'!$A$55:$F$346,3,0),IFERROR(VLOOKUP($B283,'Privacy Analyst Evaluation'!$A$46:$F$120,3,0),""))&amp;""</f>
        <v/>
      </c>
      <c r="E283" s="216" t="str">
        <f>IFERROR(VLOOKUP($B283,'Institution Evaluation'!$A$55:$F$346,4,0),IFERROR(VLOOKUP($B283,'Privacy Analyst Evaluation'!$A$46:$F$120,4,0),""))&amp;""</f>
        <v/>
      </c>
      <c r="F283" s="216" t="str">
        <f>IFERROR(VLOOKUP($B283,'Institution Evaluation'!$A$55:$F$346,6,0),IFERROR(VLOOKUP($B283,'Privacy Analyst Evaluation'!$A$46:$F$120,6,0),""))&amp;""</f>
        <v/>
      </c>
      <c r="G283" s="217"/>
      <c r="H283" s="216" t="str">
        <f>IFERROR(IF($H282+1&gt;'(backend scoring)'!$Q$335,"",$H282+1),"")</f>
        <v/>
      </c>
      <c r="I283" s="216" t="str">
        <f>_xlfn.XLOOKUP($H283,'(backend scoring)'!$S$2:$S$333,'(backend scoring)'!$A$2:$A$333,"")</f>
        <v/>
      </c>
      <c r="J283" s="216" t="str">
        <f>IFERROR(VLOOKUP($I283,'Institution Evaluation'!$A$55:$F$346,2,0),IFERROR(VLOOKUP($I283,'Privacy Analyst Evaluation'!$A$46:$F$120,2,0),""))</f>
        <v/>
      </c>
      <c r="K283" s="216" t="str">
        <f>IFERROR(VLOOKUP($I283,'Institution Evaluation'!$A$55:$F$346,3,0),IFERROR(VLOOKUP($I283,'Privacy Analyst Evaluation'!$A$46:$F$120,3,0),""))&amp;""</f>
        <v/>
      </c>
      <c r="L283" s="216" t="str">
        <f>IFERROR(VLOOKUP($I283,'Institution Evaluation'!$A$55:$F$346,4,0),IFERROR(VLOOKUP($I283,'Privacy Analyst Evaluation'!$A$46:$F$120,4,0),""))&amp;""</f>
        <v/>
      </c>
      <c r="M283" s="216" t="str">
        <f>IFERROR(VLOOKUP($I283,'Institution Evaluation'!$A$55:$F$346,6,0),IFERROR(VLOOKUP($I283,'Privacy Analyst Evaluation'!$A$46:$F$120,6,0),""))&amp;""</f>
        <v/>
      </c>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row>
    <row r="284" spans="1:338" x14ac:dyDescent="0.3">
      <c r="A284" s="216" t="str">
        <f>IFERROR(IF($A283+1&gt;'(backend scoring)'!$T$335,"",$A283+1),"")</f>
        <v/>
      </c>
      <c r="B284" s="216" t="str">
        <f>_xlfn.XLOOKUP($A284,'(backend scoring)'!$V$2:$V$333,'(backend scoring)'!$A$2:$A$333,"")</f>
        <v/>
      </c>
      <c r="C284" s="216" t="str">
        <f>IFERROR(VLOOKUP($B284,'Institution Evaluation'!$A$55:$F$346,2,0),IFERROR(VLOOKUP($B284,'Privacy Analyst Evaluation'!$A$46:$F$120,2,0),""))&amp;""</f>
        <v/>
      </c>
      <c r="D284" s="216" t="str">
        <f>IFERROR(VLOOKUP($B284,'Institution Evaluation'!$A$55:$F$346,3,0),IFERROR(VLOOKUP($B284,'Privacy Analyst Evaluation'!$A$46:$F$120,3,0),""))&amp;""</f>
        <v/>
      </c>
      <c r="E284" s="216" t="str">
        <f>IFERROR(VLOOKUP($B284,'Institution Evaluation'!$A$55:$F$346,4,0),IFERROR(VLOOKUP($B284,'Privacy Analyst Evaluation'!$A$46:$F$120,4,0),""))&amp;""</f>
        <v/>
      </c>
      <c r="F284" s="216" t="str">
        <f>IFERROR(VLOOKUP($B284,'Institution Evaluation'!$A$55:$F$346,6,0),IFERROR(VLOOKUP($B284,'Privacy Analyst Evaluation'!$A$46:$F$120,6,0),""))&amp;""</f>
        <v/>
      </c>
      <c r="G284" s="217"/>
      <c r="H284" s="216" t="str">
        <f>IFERROR(IF($H283+1&gt;'(backend scoring)'!$Q$335,"",$H283+1),"")</f>
        <v/>
      </c>
      <c r="I284" s="216" t="str">
        <f>_xlfn.XLOOKUP($H284,'(backend scoring)'!$S$2:$S$333,'(backend scoring)'!$A$2:$A$333,"")</f>
        <v/>
      </c>
      <c r="J284" s="216" t="str">
        <f>IFERROR(VLOOKUP($I284,'Institution Evaluation'!$A$55:$F$346,2,0),IFERROR(VLOOKUP($I284,'Privacy Analyst Evaluation'!$A$46:$F$120,2,0),""))</f>
        <v/>
      </c>
      <c r="K284" s="216" t="str">
        <f>IFERROR(VLOOKUP($I284,'Institution Evaluation'!$A$55:$F$346,3,0),IFERROR(VLOOKUP($I284,'Privacy Analyst Evaluation'!$A$46:$F$120,3,0),""))&amp;""</f>
        <v/>
      </c>
      <c r="L284" s="216" t="str">
        <f>IFERROR(VLOOKUP($I284,'Institution Evaluation'!$A$55:$F$346,4,0),IFERROR(VLOOKUP($I284,'Privacy Analyst Evaluation'!$A$46:$F$120,4,0),""))&amp;""</f>
        <v/>
      </c>
      <c r="M284" s="216" t="str">
        <f>IFERROR(VLOOKUP($I284,'Institution Evaluation'!$A$55:$F$346,6,0),IFERROR(VLOOKUP($I284,'Privacy Analyst Evaluation'!$A$46:$F$120,6,0),""))&amp;""</f>
        <v/>
      </c>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row>
    <row r="285" spans="1:338" x14ac:dyDescent="0.3">
      <c r="A285" s="216" t="str">
        <f>IFERROR(IF($A284+1&gt;'(backend scoring)'!$T$335,"",$A284+1),"")</f>
        <v/>
      </c>
      <c r="B285" s="216" t="str">
        <f>_xlfn.XLOOKUP($A285,'(backend scoring)'!$V$2:$V$333,'(backend scoring)'!$A$2:$A$333,"")</f>
        <v/>
      </c>
      <c r="C285" s="216" t="str">
        <f>IFERROR(VLOOKUP($B285,'Institution Evaluation'!$A$55:$F$346,2,0),IFERROR(VLOOKUP($B285,'Privacy Analyst Evaluation'!$A$46:$F$120,2,0),""))&amp;""</f>
        <v/>
      </c>
      <c r="D285" s="216" t="str">
        <f>IFERROR(VLOOKUP($B285,'Institution Evaluation'!$A$55:$F$346,3,0),IFERROR(VLOOKUP($B285,'Privacy Analyst Evaluation'!$A$46:$F$120,3,0),""))&amp;""</f>
        <v/>
      </c>
      <c r="E285" s="216" t="str">
        <f>IFERROR(VLOOKUP($B285,'Institution Evaluation'!$A$55:$F$346,4,0),IFERROR(VLOOKUP($B285,'Privacy Analyst Evaluation'!$A$46:$F$120,4,0),""))&amp;""</f>
        <v/>
      </c>
      <c r="F285" s="216" t="str">
        <f>IFERROR(VLOOKUP($B285,'Institution Evaluation'!$A$55:$F$346,6,0),IFERROR(VLOOKUP($B285,'Privacy Analyst Evaluation'!$A$46:$F$120,6,0),""))&amp;""</f>
        <v/>
      </c>
      <c r="G285" s="217"/>
      <c r="H285" s="216" t="str">
        <f>IFERROR(IF($H284+1&gt;'(backend scoring)'!$Q$335,"",$H284+1),"")</f>
        <v/>
      </c>
      <c r="I285" s="216" t="str">
        <f>_xlfn.XLOOKUP($H285,'(backend scoring)'!$S$2:$S$333,'(backend scoring)'!$A$2:$A$333,"")</f>
        <v/>
      </c>
      <c r="J285" s="216" t="str">
        <f>IFERROR(VLOOKUP($I285,'Institution Evaluation'!$A$55:$F$346,2,0),IFERROR(VLOOKUP($I285,'Privacy Analyst Evaluation'!$A$46:$F$120,2,0),""))</f>
        <v/>
      </c>
      <c r="K285" s="216" t="str">
        <f>IFERROR(VLOOKUP($I285,'Institution Evaluation'!$A$55:$F$346,3,0),IFERROR(VLOOKUP($I285,'Privacy Analyst Evaluation'!$A$46:$F$120,3,0),""))&amp;""</f>
        <v/>
      </c>
      <c r="L285" s="216" t="str">
        <f>IFERROR(VLOOKUP($I285,'Institution Evaluation'!$A$55:$F$346,4,0),IFERROR(VLOOKUP($I285,'Privacy Analyst Evaluation'!$A$46:$F$120,4,0),""))&amp;""</f>
        <v/>
      </c>
      <c r="M285" s="216" t="str">
        <f>IFERROR(VLOOKUP($I285,'Institution Evaluation'!$A$55:$F$346,6,0),IFERROR(VLOOKUP($I285,'Privacy Analyst Evaluation'!$A$46:$F$120,6,0),""))&amp;""</f>
        <v/>
      </c>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row>
    <row r="286" spans="1:338" x14ac:dyDescent="0.3">
      <c r="A286" s="216" t="str">
        <f>IFERROR(IF($A285+1&gt;'(backend scoring)'!$T$335,"",$A285+1),"")</f>
        <v/>
      </c>
      <c r="B286" s="216" t="str">
        <f>_xlfn.XLOOKUP($A286,'(backend scoring)'!$V$2:$V$333,'(backend scoring)'!$A$2:$A$333,"")</f>
        <v/>
      </c>
      <c r="C286" s="216" t="str">
        <f>IFERROR(VLOOKUP($B286,'Institution Evaluation'!$A$55:$F$346,2,0),IFERROR(VLOOKUP($B286,'Privacy Analyst Evaluation'!$A$46:$F$120,2,0),""))&amp;""</f>
        <v/>
      </c>
      <c r="D286" s="216" t="str">
        <f>IFERROR(VLOOKUP($B286,'Institution Evaluation'!$A$55:$F$346,3,0),IFERROR(VLOOKUP($B286,'Privacy Analyst Evaluation'!$A$46:$F$120,3,0),""))&amp;""</f>
        <v/>
      </c>
      <c r="E286" s="216" t="str">
        <f>IFERROR(VLOOKUP($B286,'Institution Evaluation'!$A$55:$F$346,4,0),IFERROR(VLOOKUP($B286,'Privacy Analyst Evaluation'!$A$46:$F$120,4,0),""))&amp;""</f>
        <v/>
      </c>
      <c r="F286" s="216" t="str">
        <f>IFERROR(VLOOKUP($B286,'Institution Evaluation'!$A$55:$F$346,6,0),IFERROR(VLOOKUP($B286,'Privacy Analyst Evaluation'!$A$46:$F$120,6,0),""))&amp;""</f>
        <v/>
      </c>
      <c r="G286" s="217"/>
      <c r="H286" s="216" t="str">
        <f>IFERROR(IF($H285+1&gt;'(backend scoring)'!$Q$335,"",$H285+1),"")</f>
        <v/>
      </c>
      <c r="I286" s="216" t="str">
        <f>_xlfn.XLOOKUP($H286,'(backend scoring)'!$S$2:$S$333,'(backend scoring)'!$A$2:$A$333,"")</f>
        <v/>
      </c>
      <c r="J286" s="216" t="str">
        <f>IFERROR(VLOOKUP($I286,'Institution Evaluation'!$A$55:$F$346,2,0),IFERROR(VLOOKUP($I286,'Privacy Analyst Evaluation'!$A$46:$F$120,2,0),""))</f>
        <v/>
      </c>
      <c r="K286" s="216" t="str">
        <f>IFERROR(VLOOKUP($I286,'Institution Evaluation'!$A$55:$F$346,3,0),IFERROR(VLOOKUP($I286,'Privacy Analyst Evaluation'!$A$46:$F$120,3,0),""))&amp;""</f>
        <v/>
      </c>
      <c r="L286" s="216" t="str">
        <f>IFERROR(VLOOKUP($I286,'Institution Evaluation'!$A$55:$F$346,4,0),IFERROR(VLOOKUP($I286,'Privacy Analyst Evaluation'!$A$46:$F$120,4,0),""))&amp;""</f>
        <v/>
      </c>
      <c r="M286" s="216" t="str">
        <f>IFERROR(VLOOKUP($I286,'Institution Evaluation'!$A$55:$F$346,6,0),IFERROR(VLOOKUP($I286,'Privacy Analyst Evaluation'!$A$46:$F$120,6,0),""))&amp;""</f>
        <v/>
      </c>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row>
    <row r="287" spans="1:338" x14ac:dyDescent="0.3">
      <c r="A287" s="216" t="str">
        <f>IFERROR(IF($A286+1&gt;'(backend scoring)'!$T$335,"",$A286+1),"")</f>
        <v/>
      </c>
      <c r="B287" s="216" t="str">
        <f>_xlfn.XLOOKUP($A287,'(backend scoring)'!$V$2:$V$333,'(backend scoring)'!$A$2:$A$333,"")</f>
        <v/>
      </c>
      <c r="C287" s="216" t="str">
        <f>IFERROR(VLOOKUP($B287,'Institution Evaluation'!$A$55:$F$346,2,0),IFERROR(VLOOKUP($B287,'Privacy Analyst Evaluation'!$A$46:$F$120,2,0),""))&amp;""</f>
        <v/>
      </c>
      <c r="D287" s="216" t="str">
        <f>IFERROR(VLOOKUP($B287,'Institution Evaluation'!$A$55:$F$346,3,0),IFERROR(VLOOKUP($B287,'Privacy Analyst Evaluation'!$A$46:$F$120,3,0),""))&amp;""</f>
        <v/>
      </c>
      <c r="E287" s="216" t="str">
        <f>IFERROR(VLOOKUP($B287,'Institution Evaluation'!$A$55:$F$346,4,0),IFERROR(VLOOKUP($B287,'Privacy Analyst Evaluation'!$A$46:$F$120,4,0),""))&amp;""</f>
        <v/>
      </c>
      <c r="F287" s="216" t="str">
        <f>IFERROR(VLOOKUP($B287,'Institution Evaluation'!$A$55:$F$346,6,0),IFERROR(VLOOKUP($B287,'Privacy Analyst Evaluation'!$A$46:$F$120,6,0),""))&amp;""</f>
        <v/>
      </c>
      <c r="G287" s="217"/>
      <c r="H287" s="216" t="str">
        <f>IFERROR(IF($H286+1&gt;'(backend scoring)'!$Q$335,"",$H286+1),"")</f>
        <v/>
      </c>
      <c r="I287" s="216" t="str">
        <f>_xlfn.XLOOKUP($H287,'(backend scoring)'!$S$2:$S$333,'(backend scoring)'!$A$2:$A$333,"")</f>
        <v/>
      </c>
      <c r="J287" s="216" t="str">
        <f>IFERROR(VLOOKUP($I287,'Institution Evaluation'!$A$55:$F$346,2,0),IFERROR(VLOOKUP($I287,'Privacy Analyst Evaluation'!$A$46:$F$120,2,0),""))</f>
        <v/>
      </c>
      <c r="K287" s="216" t="str">
        <f>IFERROR(VLOOKUP($I287,'Institution Evaluation'!$A$55:$F$346,3,0),IFERROR(VLOOKUP($I287,'Privacy Analyst Evaluation'!$A$46:$F$120,3,0),""))&amp;""</f>
        <v/>
      </c>
      <c r="L287" s="216" t="str">
        <f>IFERROR(VLOOKUP($I287,'Institution Evaluation'!$A$55:$F$346,4,0),IFERROR(VLOOKUP($I287,'Privacy Analyst Evaluation'!$A$46:$F$120,4,0),""))&amp;""</f>
        <v/>
      </c>
      <c r="M287" s="216" t="str">
        <f>IFERROR(VLOOKUP($I287,'Institution Evaluation'!$A$55:$F$346,6,0),IFERROR(VLOOKUP($I287,'Privacy Analyst Evaluation'!$A$46:$F$120,6,0),""))&amp;""</f>
        <v/>
      </c>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row>
    <row r="288" spans="1:338" x14ac:dyDescent="0.3">
      <c r="A288" s="216" t="str">
        <f>IFERROR(IF($A287+1&gt;'(backend scoring)'!$T$335,"",$A287+1),"")</f>
        <v/>
      </c>
      <c r="B288" s="216" t="str">
        <f>_xlfn.XLOOKUP($A288,'(backend scoring)'!$V$2:$V$333,'(backend scoring)'!$A$2:$A$333,"")</f>
        <v/>
      </c>
      <c r="C288" s="216" t="str">
        <f>IFERROR(VLOOKUP($B288,'Institution Evaluation'!$A$55:$F$346,2,0),IFERROR(VLOOKUP($B288,'Privacy Analyst Evaluation'!$A$46:$F$120,2,0),""))&amp;""</f>
        <v/>
      </c>
      <c r="D288" s="216" t="str">
        <f>IFERROR(VLOOKUP($B288,'Institution Evaluation'!$A$55:$F$346,3,0),IFERROR(VLOOKUP($B288,'Privacy Analyst Evaluation'!$A$46:$F$120,3,0),""))&amp;""</f>
        <v/>
      </c>
      <c r="E288" s="216" t="str">
        <f>IFERROR(VLOOKUP($B288,'Institution Evaluation'!$A$55:$F$346,4,0),IFERROR(VLOOKUP($B288,'Privacy Analyst Evaluation'!$A$46:$F$120,4,0),""))&amp;""</f>
        <v/>
      </c>
      <c r="F288" s="216" t="str">
        <f>IFERROR(VLOOKUP($B288,'Institution Evaluation'!$A$55:$F$346,6,0),IFERROR(VLOOKUP($B288,'Privacy Analyst Evaluation'!$A$46:$F$120,6,0),""))&amp;""</f>
        <v/>
      </c>
      <c r="G288" s="217"/>
      <c r="H288" s="216" t="str">
        <f>IFERROR(IF($H287+1&gt;'(backend scoring)'!$Q$335,"",$H287+1),"")</f>
        <v/>
      </c>
      <c r="I288" s="216" t="str">
        <f>_xlfn.XLOOKUP($H288,'(backend scoring)'!$S$2:$S$333,'(backend scoring)'!$A$2:$A$333,"")</f>
        <v/>
      </c>
      <c r="J288" s="216" t="str">
        <f>IFERROR(VLOOKUP($I288,'Institution Evaluation'!$A$55:$F$346,2,0),IFERROR(VLOOKUP($I288,'Privacy Analyst Evaluation'!$A$46:$F$120,2,0),""))</f>
        <v/>
      </c>
      <c r="K288" s="216" t="str">
        <f>IFERROR(VLOOKUP($I288,'Institution Evaluation'!$A$55:$F$346,3,0),IFERROR(VLOOKUP($I288,'Privacy Analyst Evaluation'!$A$46:$F$120,3,0),""))&amp;""</f>
        <v/>
      </c>
      <c r="L288" s="216" t="str">
        <f>IFERROR(VLOOKUP($I288,'Institution Evaluation'!$A$55:$F$346,4,0),IFERROR(VLOOKUP($I288,'Privacy Analyst Evaluation'!$A$46:$F$120,4,0),""))&amp;""</f>
        <v/>
      </c>
      <c r="M288" s="216" t="str">
        <f>IFERROR(VLOOKUP($I288,'Institution Evaluation'!$A$55:$F$346,6,0),IFERROR(VLOOKUP($I288,'Privacy Analyst Evaluation'!$A$46:$F$120,6,0),""))&amp;""</f>
        <v/>
      </c>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row>
    <row r="289" spans="1:338" x14ac:dyDescent="0.3">
      <c r="A289" s="216" t="str">
        <f>IFERROR(IF($A288+1&gt;'(backend scoring)'!$T$335,"",$A288+1),"")</f>
        <v/>
      </c>
      <c r="B289" s="216" t="str">
        <f>_xlfn.XLOOKUP($A289,'(backend scoring)'!$V$2:$V$333,'(backend scoring)'!$A$2:$A$333,"")</f>
        <v/>
      </c>
      <c r="C289" s="216" t="str">
        <f>IFERROR(VLOOKUP($B289,'Institution Evaluation'!$A$55:$F$346,2,0),IFERROR(VLOOKUP($B289,'Privacy Analyst Evaluation'!$A$46:$F$120,2,0),""))&amp;""</f>
        <v/>
      </c>
      <c r="D289" s="216" t="str">
        <f>IFERROR(VLOOKUP($B289,'Institution Evaluation'!$A$55:$F$346,3,0),IFERROR(VLOOKUP($B289,'Privacy Analyst Evaluation'!$A$46:$F$120,3,0),""))&amp;""</f>
        <v/>
      </c>
      <c r="E289" s="216" t="str">
        <f>IFERROR(VLOOKUP($B289,'Institution Evaluation'!$A$55:$F$346,4,0),IFERROR(VLOOKUP($B289,'Privacy Analyst Evaluation'!$A$46:$F$120,4,0),""))&amp;""</f>
        <v/>
      </c>
      <c r="F289" s="216" t="str">
        <f>IFERROR(VLOOKUP($B289,'Institution Evaluation'!$A$55:$F$346,6,0),IFERROR(VLOOKUP($B289,'Privacy Analyst Evaluation'!$A$46:$F$120,6,0),""))&amp;""</f>
        <v/>
      </c>
      <c r="G289" s="217"/>
      <c r="H289" s="216" t="str">
        <f>IFERROR(IF($H288+1&gt;'(backend scoring)'!$Q$335,"",$H288+1),"")</f>
        <v/>
      </c>
      <c r="I289" s="216" t="str">
        <f>_xlfn.XLOOKUP($H289,'(backend scoring)'!$S$2:$S$333,'(backend scoring)'!$A$2:$A$333,"")</f>
        <v/>
      </c>
      <c r="J289" s="216" t="str">
        <f>IFERROR(VLOOKUP($I289,'Institution Evaluation'!$A$55:$F$346,2,0),IFERROR(VLOOKUP($I289,'Privacy Analyst Evaluation'!$A$46:$F$120,2,0),""))</f>
        <v/>
      </c>
      <c r="K289" s="216" t="str">
        <f>IFERROR(VLOOKUP($I289,'Institution Evaluation'!$A$55:$F$346,3,0),IFERROR(VLOOKUP($I289,'Privacy Analyst Evaluation'!$A$46:$F$120,3,0),""))&amp;""</f>
        <v/>
      </c>
      <c r="L289" s="216" t="str">
        <f>IFERROR(VLOOKUP($I289,'Institution Evaluation'!$A$55:$F$346,4,0),IFERROR(VLOOKUP($I289,'Privacy Analyst Evaluation'!$A$46:$F$120,4,0),""))&amp;""</f>
        <v/>
      </c>
      <c r="M289" s="216" t="str">
        <f>IFERROR(VLOOKUP($I289,'Institution Evaluation'!$A$55:$F$346,6,0),IFERROR(VLOOKUP($I289,'Privacy Analyst Evaluation'!$A$46:$F$120,6,0),""))&amp;""</f>
        <v/>
      </c>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row>
    <row r="290" spans="1:338" x14ac:dyDescent="0.3">
      <c r="A290" s="216" t="str">
        <f>IFERROR(IF($A289+1&gt;'(backend scoring)'!$T$335,"",$A289+1),"")</f>
        <v/>
      </c>
      <c r="B290" s="216" t="str">
        <f>_xlfn.XLOOKUP($A290,'(backend scoring)'!$V$2:$V$333,'(backend scoring)'!$A$2:$A$333,"")</f>
        <v/>
      </c>
      <c r="C290" s="216" t="str">
        <f>IFERROR(VLOOKUP($B290,'Institution Evaluation'!$A$55:$F$346,2,0),IFERROR(VLOOKUP($B290,'Privacy Analyst Evaluation'!$A$46:$F$120,2,0),""))&amp;""</f>
        <v/>
      </c>
      <c r="D290" s="216" t="str">
        <f>IFERROR(VLOOKUP($B290,'Institution Evaluation'!$A$55:$F$346,3,0),IFERROR(VLOOKUP($B290,'Privacy Analyst Evaluation'!$A$46:$F$120,3,0),""))&amp;""</f>
        <v/>
      </c>
      <c r="E290" s="216" t="str">
        <f>IFERROR(VLOOKUP($B290,'Institution Evaluation'!$A$55:$F$346,4,0),IFERROR(VLOOKUP($B290,'Privacy Analyst Evaluation'!$A$46:$F$120,4,0),""))&amp;""</f>
        <v/>
      </c>
      <c r="F290" s="216" t="str">
        <f>IFERROR(VLOOKUP($B290,'Institution Evaluation'!$A$55:$F$346,6,0),IFERROR(VLOOKUP($B290,'Privacy Analyst Evaluation'!$A$46:$F$120,6,0),""))&amp;""</f>
        <v/>
      </c>
      <c r="G290" s="217"/>
      <c r="H290" s="216" t="str">
        <f>IFERROR(IF($H289+1&gt;'(backend scoring)'!$Q$335,"",$H289+1),"")</f>
        <v/>
      </c>
      <c r="I290" s="216" t="str">
        <f>_xlfn.XLOOKUP($H290,'(backend scoring)'!$S$2:$S$333,'(backend scoring)'!$A$2:$A$333,"")</f>
        <v/>
      </c>
      <c r="J290" s="216" t="str">
        <f>IFERROR(VLOOKUP($I290,'Institution Evaluation'!$A$55:$F$346,2,0),IFERROR(VLOOKUP($I290,'Privacy Analyst Evaluation'!$A$46:$F$120,2,0),""))</f>
        <v/>
      </c>
      <c r="K290" s="216" t="str">
        <f>IFERROR(VLOOKUP($I290,'Institution Evaluation'!$A$55:$F$346,3,0),IFERROR(VLOOKUP($I290,'Privacy Analyst Evaluation'!$A$46:$F$120,3,0),""))&amp;""</f>
        <v/>
      </c>
      <c r="L290" s="216" t="str">
        <f>IFERROR(VLOOKUP($I290,'Institution Evaluation'!$A$55:$F$346,4,0),IFERROR(VLOOKUP($I290,'Privacy Analyst Evaluation'!$A$46:$F$120,4,0),""))&amp;""</f>
        <v/>
      </c>
      <c r="M290" s="216" t="str">
        <f>IFERROR(VLOOKUP($I290,'Institution Evaluation'!$A$55:$F$346,6,0),IFERROR(VLOOKUP($I290,'Privacy Analyst Evaluation'!$A$46:$F$120,6,0),""))&amp;""</f>
        <v/>
      </c>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row>
    <row r="291" spans="1:338" x14ac:dyDescent="0.3">
      <c r="A291" s="216" t="str">
        <f>IFERROR(IF($A290+1&gt;'(backend scoring)'!$T$335,"",$A290+1),"")</f>
        <v/>
      </c>
      <c r="B291" s="216" t="str">
        <f>_xlfn.XLOOKUP($A291,'(backend scoring)'!$V$2:$V$333,'(backend scoring)'!$A$2:$A$333,"")</f>
        <v/>
      </c>
      <c r="C291" s="216" t="str">
        <f>IFERROR(VLOOKUP($B291,'Institution Evaluation'!$A$55:$F$346,2,0),IFERROR(VLOOKUP($B291,'Privacy Analyst Evaluation'!$A$46:$F$120,2,0),""))&amp;""</f>
        <v/>
      </c>
      <c r="D291" s="216" t="str">
        <f>IFERROR(VLOOKUP($B291,'Institution Evaluation'!$A$55:$F$346,3,0),IFERROR(VLOOKUP($B291,'Privacy Analyst Evaluation'!$A$46:$F$120,3,0),""))&amp;""</f>
        <v/>
      </c>
      <c r="E291" s="216" t="str">
        <f>IFERROR(VLOOKUP($B291,'Institution Evaluation'!$A$55:$F$346,4,0),IFERROR(VLOOKUP($B291,'Privacy Analyst Evaluation'!$A$46:$F$120,4,0),""))&amp;""</f>
        <v/>
      </c>
      <c r="F291" s="216" t="str">
        <f>IFERROR(VLOOKUP($B291,'Institution Evaluation'!$A$55:$F$346,6,0),IFERROR(VLOOKUP($B291,'Privacy Analyst Evaluation'!$A$46:$F$120,6,0),""))&amp;""</f>
        <v/>
      </c>
      <c r="G291" s="217"/>
      <c r="H291" s="216" t="str">
        <f>IFERROR(IF($H290+1&gt;'(backend scoring)'!$Q$335,"",$H290+1),"")</f>
        <v/>
      </c>
      <c r="I291" s="216" t="str">
        <f>_xlfn.XLOOKUP($H291,'(backend scoring)'!$S$2:$S$333,'(backend scoring)'!$A$2:$A$333,"")</f>
        <v/>
      </c>
      <c r="J291" s="216" t="str">
        <f>IFERROR(VLOOKUP($I291,'Institution Evaluation'!$A$55:$F$346,2,0),IFERROR(VLOOKUP($I291,'Privacy Analyst Evaluation'!$A$46:$F$120,2,0),""))</f>
        <v/>
      </c>
      <c r="K291" s="216" t="str">
        <f>IFERROR(VLOOKUP($I291,'Institution Evaluation'!$A$55:$F$346,3,0),IFERROR(VLOOKUP($I291,'Privacy Analyst Evaluation'!$A$46:$F$120,3,0),""))&amp;""</f>
        <v/>
      </c>
      <c r="L291" s="216" t="str">
        <f>IFERROR(VLOOKUP($I291,'Institution Evaluation'!$A$55:$F$346,4,0),IFERROR(VLOOKUP($I291,'Privacy Analyst Evaluation'!$A$46:$F$120,4,0),""))&amp;""</f>
        <v/>
      </c>
      <c r="M291" s="216" t="str">
        <f>IFERROR(VLOOKUP($I291,'Institution Evaluation'!$A$55:$F$346,6,0),IFERROR(VLOOKUP($I291,'Privacy Analyst Evaluation'!$A$46:$F$120,6,0),""))&amp;""</f>
        <v/>
      </c>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row>
    <row r="292" spans="1:338" x14ac:dyDescent="0.3">
      <c r="A292" s="216" t="str">
        <f>IFERROR(IF($A291+1&gt;'(backend scoring)'!$T$335,"",$A291+1),"")</f>
        <v/>
      </c>
      <c r="B292" s="216" t="str">
        <f>_xlfn.XLOOKUP($A292,'(backend scoring)'!$V$2:$V$333,'(backend scoring)'!$A$2:$A$333,"")</f>
        <v/>
      </c>
      <c r="C292" s="216" t="str">
        <f>IFERROR(VLOOKUP($B292,'Institution Evaluation'!$A$55:$F$346,2,0),IFERROR(VLOOKUP($B292,'Privacy Analyst Evaluation'!$A$46:$F$120,2,0),""))&amp;""</f>
        <v/>
      </c>
      <c r="D292" s="216" t="str">
        <f>IFERROR(VLOOKUP($B292,'Institution Evaluation'!$A$55:$F$346,3,0),IFERROR(VLOOKUP($B292,'Privacy Analyst Evaluation'!$A$46:$F$120,3,0),""))&amp;""</f>
        <v/>
      </c>
      <c r="E292" s="216" t="str">
        <f>IFERROR(VLOOKUP($B292,'Institution Evaluation'!$A$55:$F$346,4,0),IFERROR(VLOOKUP($B292,'Privacy Analyst Evaluation'!$A$46:$F$120,4,0),""))&amp;""</f>
        <v/>
      </c>
      <c r="F292" s="216" t="str">
        <f>IFERROR(VLOOKUP($B292,'Institution Evaluation'!$A$55:$F$346,6,0),IFERROR(VLOOKUP($B292,'Privacy Analyst Evaluation'!$A$46:$F$120,6,0),""))&amp;""</f>
        <v/>
      </c>
      <c r="G292" s="217"/>
      <c r="H292" s="216" t="str">
        <f>IFERROR(IF($H291+1&gt;'(backend scoring)'!$Q$335,"",$H291+1),"")</f>
        <v/>
      </c>
      <c r="I292" s="216" t="str">
        <f>_xlfn.XLOOKUP($H292,'(backend scoring)'!$S$2:$S$333,'(backend scoring)'!$A$2:$A$333,"")</f>
        <v/>
      </c>
      <c r="J292" s="216" t="str">
        <f>IFERROR(VLOOKUP($I292,'Institution Evaluation'!$A$55:$F$346,2,0),IFERROR(VLOOKUP($I292,'Privacy Analyst Evaluation'!$A$46:$F$120,2,0),""))</f>
        <v/>
      </c>
      <c r="K292" s="216" t="str">
        <f>IFERROR(VLOOKUP($I292,'Institution Evaluation'!$A$55:$F$346,3,0),IFERROR(VLOOKUP($I292,'Privacy Analyst Evaluation'!$A$46:$F$120,3,0),""))&amp;""</f>
        <v/>
      </c>
      <c r="L292" s="216" t="str">
        <f>IFERROR(VLOOKUP($I292,'Institution Evaluation'!$A$55:$F$346,4,0),IFERROR(VLOOKUP($I292,'Privacy Analyst Evaluation'!$A$46:$F$120,4,0),""))&amp;""</f>
        <v/>
      </c>
      <c r="M292" s="216" t="str">
        <f>IFERROR(VLOOKUP($I292,'Institution Evaluation'!$A$55:$F$346,6,0),IFERROR(VLOOKUP($I292,'Privacy Analyst Evaluation'!$A$46:$F$120,6,0),""))&amp;""</f>
        <v/>
      </c>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row>
    <row r="293" spans="1:338" x14ac:dyDescent="0.3">
      <c r="A293" s="216" t="str">
        <f>IFERROR(IF($A292+1&gt;'(backend scoring)'!$T$335,"",$A292+1),"")</f>
        <v/>
      </c>
      <c r="B293" s="216" t="str">
        <f>_xlfn.XLOOKUP($A293,'(backend scoring)'!$V$2:$V$333,'(backend scoring)'!$A$2:$A$333,"")</f>
        <v/>
      </c>
      <c r="C293" s="216" t="str">
        <f>IFERROR(VLOOKUP($B293,'Institution Evaluation'!$A$55:$F$346,2,0),IFERROR(VLOOKUP($B293,'Privacy Analyst Evaluation'!$A$46:$F$120,2,0),""))&amp;""</f>
        <v/>
      </c>
      <c r="D293" s="216" t="str">
        <f>IFERROR(VLOOKUP($B293,'Institution Evaluation'!$A$55:$F$346,3,0),IFERROR(VLOOKUP($B293,'Privacy Analyst Evaluation'!$A$46:$F$120,3,0),""))&amp;""</f>
        <v/>
      </c>
      <c r="E293" s="216" t="str">
        <f>IFERROR(VLOOKUP($B293,'Institution Evaluation'!$A$55:$F$346,4,0),IFERROR(VLOOKUP($B293,'Privacy Analyst Evaluation'!$A$46:$F$120,4,0),""))&amp;""</f>
        <v/>
      </c>
      <c r="F293" s="216" t="str">
        <f>IFERROR(VLOOKUP($B293,'Institution Evaluation'!$A$55:$F$346,6,0),IFERROR(VLOOKUP($B293,'Privacy Analyst Evaluation'!$A$46:$F$120,6,0),""))&amp;""</f>
        <v/>
      </c>
      <c r="G293" s="217"/>
      <c r="H293" s="216" t="str">
        <f>IFERROR(IF($H292+1&gt;'(backend scoring)'!$Q$335,"",$H292+1),"")</f>
        <v/>
      </c>
      <c r="I293" s="216" t="str">
        <f>_xlfn.XLOOKUP($H293,'(backend scoring)'!$S$2:$S$333,'(backend scoring)'!$A$2:$A$333,"")</f>
        <v/>
      </c>
      <c r="J293" s="216" t="str">
        <f>IFERROR(VLOOKUP($I293,'Institution Evaluation'!$A$55:$F$346,2,0),IFERROR(VLOOKUP($I293,'Privacy Analyst Evaluation'!$A$46:$F$120,2,0),""))</f>
        <v/>
      </c>
      <c r="K293" s="216" t="str">
        <f>IFERROR(VLOOKUP($I293,'Institution Evaluation'!$A$55:$F$346,3,0),IFERROR(VLOOKUP($I293,'Privacy Analyst Evaluation'!$A$46:$F$120,3,0),""))&amp;""</f>
        <v/>
      </c>
      <c r="L293" s="216" t="str">
        <f>IFERROR(VLOOKUP($I293,'Institution Evaluation'!$A$55:$F$346,4,0),IFERROR(VLOOKUP($I293,'Privacy Analyst Evaluation'!$A$46:$F$120,4,0),""))&amp;""</f>
        <v/>
      </c>
      <c r="M293" s="216" t="str">
        <f>IFERROR(VLOOKUP($I293,'Institution Evaluation'!$A$55:$F$346,6,0),IFERROR(VLOOKUP($I293,'Privacy Analyst Evaluation'!$A$46:$F$120,6,0),""))&amp;""</f>
        <v/>
      </c>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row>
    <row r="294" spans="1:338" x14ac:dyDescent="0.3">
      <c r="A294" s="216" t="str">
        <f>IFERROR(IF($A293+1&gt;'(backend scoring)'!$T$335,"",$A293+1),"")</f>
        <v/>
      </c>
      <c r="B294" s="216" t="str">
        <f>_xlfn.XLOOKUP($A294,'(backend scoring)'!$V$2:$V$333,'(backend scoring)'!$A$2:$A$333,"")</f>
        <v/>
      </c>
      <c r="C294" s="216" t="str">
        <f>IFERROR(VLOOKUP($B294,'Institution Evaluation'!$A$55:$F$346,2,0),IFERROR(VLOOKUP($B294,'Privacy Analyst Evaluation'!$A$46:$F$120,2,0),""))&amp;""</f>
        <v/>
      </c>
      <c r="D294" s="216" t="str">
        <f>IFERROR(VLOOKUP($B294,'Institution Evaluation'!$A$55:$F$346,3,0),IFERROR(VLOOKUP($B294,'Privacy Analyst Evaluation'!$A$46:$F$120,3,0),""))&amp;""</f>
        <v/>
      </c>
      <c r="E294" s="216" t="str">
        <f>IFERROR(VLOOKUP($B294,'Institution Evaluation'!$A$55:$F$346,4,0),IFERROR(VLOOKUP($B294,'Privacy Analyst Evaluation'!$A$46:$F$120,4,0),""))&amp;""</f>
        <v/>
      </c>
      <c r="F294" s="216" t="str">
        <f>IFERROR(VLOOKUP($B294,'Institution Evaluation'!$A$55:$F$346,6,0),IFERROR(VLOOKUP($B294,'Privacy Analyst Evaluation'!$A$46:$F$120,6,0),""))&amp;""</f>
        <v/>
      </c>
      <c r="G294" s="217"/>
      <c r="H294" s="216" t="str">
        <f>IFERROR(IF($H293+1&gt;'(backend scoring)'!$Q$335,"",$H293+1),"")</f>
        <v/>
      </c>
      <c r="I294" s="216" t="str">
        <f>_xlfn.XLOOKUP($H294,'(backend scoring)'!$S$2:$S$333,'(backend scoring)'!$A$2:$A$333,"")</f>
        <v/>
      </c>
      <c r="J294" s="216" t="str">
        <f>IFERROR(VLOOKUP($I294,'Institution Evaluation'!$A$55:$F$346,2,0),IFERROR(VLOOKUP($I294,'Privacy Analyst Evaluation'!$A$46:$F$120,2,0),""))</f>
        <v/>
      </c>
      <c r="K294" s="216" t="str">
        <f>IFERROR(VLOOKUP($I294,'Institution Evaluation'!$A$55:$F$346,3,0),IFERROR(VLOOKUP($I294,'Privacy Analyst Evaluation'!$A$46:$F$120,3,0),""))&amp;""</f>
        <v/>
      </c>
      <c r="L294" s="216" t="str">
        <f>IFERROR(VLOOKUP($I294,'Institution Evaluation'!$A$55:$F$346,4,0),IFERROR(VLOOKUP($I294,'Privacy Analyst Evaluation'!$A$46:$F$120,4,0),""))&amp;""</f>
        <v/>
      </c>
      <c r="M294" s="216" t="str">
        <f>IFERROR(VLOOKUP($I294,'Institution Evaluation'!$A$55:$F$346,6,0),IFERROR(VLOOKUP($I294,'Privacy Analyst Evaluation'!$A$46:$F$120,6,0),""))&amp;""</f>
        <v/>
      </c>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row>
    <row r="295" spans="1:338" x14ac:dyDescent="0.3">
      <c r="A295" s="216" t="str">
        <f>IFERROR(IF($A294+1&gt;'(backend scoring)'!$T$335,"",$A294+1),"")</f>
        <v/>
      </c>
      <c r="B295" s="216" t="str">
        <f>_xlfn.XLOOKUP($A295,'(backend scoring)'!$V$2:$V$333,'(backend scoring)'!$A$2:$A$333,"")</f>
        <v/>
      </c>
      <c r="C295" s="216" t="str">
        <f>IFERROR(VLOOKUP($B295,'Institution Evaluation'!$A$55:$F$346,2,0),IFERROR(VLOOKUP($B295,'Privacy Analyst Evaluation'!$A$46:$F$120,2,0),""))&amp;""</f>
        <v/>
      </c>
      <c r="D295" s="216" t="str">
        <f>IFERROR(VLOOKUP($B295,'Institution Evaluation'!$A$55:$F$346,3,0),IFERROR(VLOOKUP($B295,'Privacy Analyst Evaluation'!$A$46:$F$120,3,0),""))&amp;""</f>
        <v/>
      </c>
      <c r="E295" s="216" t="str">
        <f>IFERROR(VLOOKUP($B295,'Institution Evaluation'!$A$55:$F$346,4,0),IFERROR(VLOOKUP($B295,'Privacy Analyst Evaluation'!$A$46:$F$120,4,0),""))&amp;""</f>
        <v/>
      </c>
      <c r="F295" s="216" t="str">
        <f>IFERROR(VLOOKUP($B295,'Institution Evaluation'!$A$55:$F$346,6,0),IFERROR(VLOOKUP($B295,'Privacy Analyst Evaluation'!$A$46:$F$120,6,0),""))&amp;""</f>
        <v/>
      </c>
      <c r="G295" s="217"/>
      <c r="H295" s="216" t="str">
        <f>IFERROR(IF($H294+1&gt;'(backend scoring)'!$Q$335,"",$H294+1),"")</f>
        <v/>
      </c>
      <c r="I295" s="216" t="str">
        <f>_xlfn.XLOOKUP($H295,'(backend scoring)'!$S$2:$S$333,'(backend scoring)'!$A$2:$A$333,"")</f>
        <v/>
      </c>
      <c r="J295" s="216" t="str">
        <f>IFERROR(VLOOKUP($I295,'Institution Evaluation'!$A$55:$F$346,2,0),IFERROR(VLOOKUP($I295,'Privacy Analyst Evaluation'!$A$46:$F$120,2,0),""))</f>
        <v/>
      </c>
      <c r="K295" s="216" t="str">
        <f>IFERROR(VLOOKUP($I295,'Institution Evaluation'!$A$55:$F$346,3,0),IFERROR(VLOOKUP($I295,'Privacy Analyst Evaluation'!$A$46:$F$120,3,0),""))&amp;""</f>
        <v/>
      </c>
      <c r="L295" s="216" t="str">
        <f>IFERROR(VLOOKUP($I295,'Institution Evaluation'!$A$55:$F$346,4,0),IFERROR(VLOOKUP($I295,'Privacy Analyst Evaluation'!$A$46:$F$120,4,0),""))&amp;""</f>
        <v/>
      </c>
      <c r="M295" s="216" t="str">
        <f>IFERROR(VLOOKUP($I295,'Institution Evaluation'!$A$55:$F$346,6,0),IFERROR(VLOOKUP($I295,'Privacy Analyst Evaluation'!$A$46:$F$120,6,0),""))&amp;""</f>
        <v/>
      </c>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row>
    <row r="296" spans="1:338" x14ac:dyDescent="0.3">
      <c r="A296" s="216" t="str">
        <f>IFERROR(IF($A295+1&gt;'(backend scoring)'!$T$335,"",$A295+1),"")</f>
        <v/>
      </c>
      <c r="B296" s="216" t="str">
        <f>_xlfn.XLOOKUP($A296,'(backend scoring)'!$V$2:$V$333,'(backend scoring)'!$A$2:$A$333,"")</f>
        <v/>
      </c>
      <c r="C296" s="216" t="str">
        <f>IFERROR(VLOOKUP($B296,'Institution Evaluation'!$A$55:$F$346,2,0),IFERROR(VLOOKUP($B296,'Privacy Analyst Evaluation'!$A$46:$F$120,2,0),""))&amp;""</f>
        <v/>
      </c>
      <c r="D296" s="216" t="str">
        <f>IFERROR(VLOOKUP($B296,'Institution Evaluation'!$A$55:$F$346,3,0),IFERROR(VLOOKUP($B296,'Privacy Analyst Evaluation'!$A$46:$F$120,3,0),""))&amp;""</f>
        <v/>
      </c>
      <c r="E296" s="216" t="str">
        <f>IFERROR(VLOOKUP($B296,'Institution Evaluation'!$A$55:$F$346,4,0),IFERROR(VLOOKUP($B296,'Privacy Analyst Evaluation'!$A$46:$F$120,4,0),""))&amp;""</f>
        <v/>
      </c>
      <c r="F296" s="216" t="str">
        <f>IFERROR(VLOOKUP($B296,'Institution Evaluation'!$A$55:$F$346,6,0),IFERROR(VLOOKUP($B296,'Privacy Analyst Evaluation'!$A$46:$F$120,6,0),""))&amp;""</f>
        <v/>
      </c>
      <c r="G296" s="217"/>
      <c r="H296" s="216" t="str">
        <f>IFERROR(IF($H295+1&gt;'(backend scoring)'!$Q$335,"",$H295+1),"")</f>
        <v/>
      </c>
      <c r="I296" s="216" t="str">
        <f>_xlfn.XLOOKUP($H296,'(backend scoring)'!$S$2:$S$333,'(backend scoring)'!$A$2:$A$333,"")</f>
        <v/>
      </c>
      <c r="J296" s="216" t="str">
        <f>IFERROR(VLOOKUP($I296,'Institution Evaluation'!$A$55:$F$346,2,0),IFERROR(VLOOKUP($I296,'Privacy Analyst Evaluation'!$A$46:$F$120,2,0),""))</f>
        <v/>
      </c>
      <c r="K296" s="216" t="str">
        <f>IFERROR(VLOOKUP($I296,'Institution Evaluation'!$A$55:$F$346,3,0),IFERROR(VLOOKUP($I296,'Privacy Analyst Evaluation'!$A$46:$F$120,3,0),""))&amp;""</f>
        <v/>
      </c>
      <c r="L296" s="216" t="str">
        <f>IFERROR(VLOOKUP($I296,'Institution Evaluation'!$A$55:$F$346,4,0),IFERROR(VLOOKUP($I296,'Privacy Analyst Evaluation'!$A$46:$F$120,4,0),""))&amp;""</f>
        <v/>
      </c>
      <c r="M296" s="216" t="str">
        <f>IFERROR(VLOOKUP($I296,'Institution Evaluation'!$A$55:$F$346,6,0),IFERROR(VLOOKUP($I296,'Privacy Analyst Evaluation'!$A$46:$F$120,6,0),""))&amp;""</f>
        <v/>
      </c>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row>
    <row r="297" spans="1:338" x14ac:dyDescent="0.3">
      <c r="A297" s="216" t="str">
        <f>IFERROR(IF($A296+1&gt;'(backend scoring)'!$T$335,"",$A296+1),"")</f>
        <v/>
      </c>
      <c r="B297" s="216" t="str">
        <f>_xlfn.XLOOKUP($A297,'(backend scoring)'!$V$2:$V$333,'(backend scoring)'!$A$2:$A$333,"")</f>
        <v/>
      </c>
      <c r="C297" s="216" t="str">
        <f>IFERROR(VLOOKUP($B297,'Institution Evaluation'!$A$55:$F$346,2,0),IFERROR(VLOOKUP($B297,'Privacy Analyst Evaluation'!$A$46:$F$120,2,0),""))&amp;""</f>
        <v/>
      </c>
      <c r="D297" s="216" t="str">
        <f>IFERROR(VLOOKUP($B297,'Institution Evaluation'!$A$55:$F$346,3,0),IFERROR(VLOOKUP($B297,'Privacy Analyst Evaluation'!$A$46:$F$120,3,0),""))&amp;""</f>
        <v/>
      </c>
      <c r="E297" s="216" t="str">
        <f>IFERROR(VLOOKUP($B297,'Institution Evaluation'!$A$55:$F$346,4,0),IFERROR(VLOOKUP($B297,'Privacy Analyst Evaluation'!$A$46:$F$120,4,0),""))&amp;""</f>
        <v/>
      </c>
      <c r="F297" s="216" t="str">
        <f>IFERROR(VLOOKUP($B297,'Institution Evaluation'!$A$55:$F$346,6,0),IFERROR(VLOOKUP($B297,'Privacy Analyst Evaluation'!$A$46:$F$120,6,0),""))&amp;""</f>
        <v/>
      </c>
      <c r="G297" s="217"/>
      <c r="H297" s="216" t="str">
        <f>IFERROR(IF($H296+1&gt;'(backend scoring)'!$Q$335,"",$H296+1),"")</f>
        <v/>
      </c>
      <c r="I297" s="216" t="str">
        <f>_xlfn.XLOOKUP($H297,'(backend scoring)'!$S$2:$S$333,'(backend scoring)'!$A$2:$A$333,"")</f>
        <v/>
      </c>
      <c r="J297" s="216" t="str">
        <f>IFERROR(VLOOKUP($I297,'Institution Evaluation'!$A$55:$F$346,2,0),IFERROR(VLOOKUP($I297,'Privacy Analyst Evaluation'!$A$46:$F$120,2,0),""))</f>
        <v/>
      </c>
      <c r="K297" s="216" t="str">
        <f>IFERROR(VLOOKUP($I297,'Institution Evaluation'!$A$55:$F$346,3,0),IFERROR(VLOOKUP($I297,'Privacy Analyst Evaluation'!$A$46:$F$120,3,0),""))&amp;""</f>
        <v/>
      </c>
      <c r="L297" s="216" t="str">
        <f>IFERROR(VLOOKUP($I297,'Institution Evaluation'!$A$55:$F$346,4,0),IFERROR(VLOOKUP($I297,'Privacy Analyst Evaluation'!$A$46:$F$120,4,0),""))&amp;""</f>
        <v/>
      </c>
      <c r="M297" s="216" t="str">
        <f>IFERROR(VLOOKUP($I297,'Institution Evaluation'!$A$55:$F$346,6,0),IFERROR(VLOOKUP($I297,'Privacy Analyst Evaluation'!$A$46:$F$120,6,0),""))&amp;""</f>
        <v/>
      </c>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row>
    <row r="298" spans="1:338" x14ac:dyDescent="0.3">
      <c r="A298" s="216" t="str">
        <f>IFERROR(IF($A297+1&gt;'(backend scoring)'!$T$335,"",$A297+1),"")</f>
        <v/>
      </c>
      <c r="B298" s="216" t="str">
        <f>_xlfn.XLOOKUP($A298,'(backend scoring)'!$V$2:$V$333,'(backend scoring)'!$A$2:$A$333,"")</f>
        <v/>
      </c>
      <c r="C298" s="216" t="str">
        <f>IFERROR(VLOOKUP($B298,'Institution Evaluation'!$A$55:$F$346,2,0),IFERROR(VLOOKUP($B298,'Privacy Analyst Evaluation'!$A$46:$F$120,2,0),""))&amp;""</f>
        <v/>
      </c>
      <c r="D298" s="216" t="str">
        <f>IFERROR(VLOOKUP($B298,'Institution Evaluation'!$A$55:$F$346,3,0),IFERROR(VLOOKUP($B298,'Privacy Analyst Evaluation'!$A$46:$F$120,3,0),""))&amp;""</f>
        <v/>
      </c>
      <c r="E298" s="216" t="str">
        <f>IFERROR(VLOOKUP($B298,'Institution Evaluation'!$A$55:$F$346,4,0),IFERROR(VLOOKUP($B298,'Privacy Analyst Evaluation'!$A$46:$F$120,4,0),""))&amp;""</f>
        <v/>
      </c>
      <c r="F298" s="216" t="str">
        <f>IFERROR(VLOOKUP($B298,'Institution Evaluation'!$A$55:$F$346,6,0),IFERROR(VLOOKUP($B298,'Privacy Analyst Evaluation'!$A$46:$F$120,6,0),""))&amp;""</f>
        <v/>
      </c>
      <c r="G298" s="217"/>
      <c r="H298" s="216" t="str">
        <f>IFERROR(IF($H297+1&gt;'(backend scoring)'!$Q$335,"",$H297+1),"")</f>
        <v/>
      </c>
      <c r="I298" s="216" t="str">
        <f>_xlfn.XLOOKUP($H298,'(backend scoring)'!$S$2:$S$333,'(backend scoring)'!$A$2:$A$333,"")</f>
        <v/>
      </c>
      <c r="J298" s="216" t="str">
        <f>IFERROR(VLOOKUP($I298,'Institution Evaluation'!$A$55:$F$346,2,0),IFERROR(VLOOKUP($I298,'Privacy Analyst Evaluation'!$A$46:$F$120,2,0),""))</f>
        <v/>
      </c>
      <c r="K298" s="216" t="str">
        <f>IFERROR(VLOOKUP($I298,'Institution Evaluation'!$A$55:$F$346,3,0),IFERROR(VLOOKUP($I298,'Privacy Analyst Evaluation'!$A$46:$F$120,3,0),""))&amp;""</f>
        <v/>
      </c>
      <c r="L298" s="216" t="str">
        <f>IFERROR(VLOOKUP($I298,'Institution Evaluation'!$A$55:$F$346,4,0),IFERROR(VLOOKUP($I298,'Privacy Analyst Evaluation'!$A$46:$F$120,4,0),""))&amp;""</f>
        <v/>
      </c>
      <c r="M298" s="216" t="str">
        <f>IFERROR(VLOOKUP($I298,'Institution Evaluation'!$A$55:$F$346,6,0),IFERROR(VLOOKUP($I298,'Privacy Analyst Evaluation'!$A$46:$F$120,6,0),""))&amp;""</f>
        <v/>
      </c>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row>
    <row r="299" spans="1:338" x14ac:dyDescent="0.3">
      <c r="A299" s="216" t="str">
        <f>IFERROR(IF($A298+1&gt;'(backend scoring)'!$T$335,"",$A298+1),"")</f>
        <v/>
      </c>
      <c r="B299" s="216" t="str">
        <f>_xlfn.XLOOKUP($A299,'(backend scoring)'!$V$2:$V$333,'(backend scoring)'!$A$2:$A$333,"")</f>
        <v/>
      </c>
      <c r="C299" s="216" t="str">
        <f>IFERROR(VLOOKUP($B299,'Institution Evaluation'!$A$55:$F$346,2,0),IFERROR(VLOOKUP($B299,'Privacy Analyst Evaluation'!$A$46:$F$120,2,0),""))&amp;""</f>
        <v/>
      </c>
      <c r="D299" s="216" t="str">
        <f>IFERROR(VLOOKUP($B299,'Institution Evaluation'!$A$55:$F$346,3,0),IFERROR(VLOOKUP($B299,'Privacy Analyst Evaluation'!$A$46:$F$120,3,0),""))&amp;""</f>
        <v/>
      </c>
      <c r="E299" s="216" t="str">
        <f>IFERROR(VLOOKUP($B299,'Institution Evaluation'!$A$55:$F$346,4,0),IFERROR(VLOOKUP($B299,'Privacy Analyst Evaluation'!$A$46:$F$120,4,0),""))&amp;""</f>
        <v/>
      </c>
      <c r="F299" s="216" t="str">
        <f>IFERROR(VLOOKUP($B299,'Institution Evaluation'!$A$55:$F$346,6,0),IFERROR(VLOOKUP($B299,'Privacy Analyst Evaluation'!$A$46:$F$120,6,0),""))&amp;""</f>
        <v/>
      </c>
      <c r="G299" s="217"/>
      <c r="H299" s="216" t="str">
        <f>IFERROR(IF($H298+1&gt;'(backend scoring)'!$Q$335,"",$H298+1),"")</f>
        <v/>
      </c>
      <c r="I299" s="216" t="str">
        <f>_xlfn.XLOOKUP($H299,'(backend scoring)'!$S$2:$S$333,'(backend scoring)'!$A$2:$A$333,"")</f>
        <v/>
      </c>
      <c r="J299" s="216" t="str">
        <f>IFERROR(VLOOKUP($I299,'Institution Evaluation'!$A$55:$F$346,2,0),IFERROR(VLOOKUP($I299,'Privacy Analyst Evaluation'!$A$46:$F$120,2,0),""))</f>
        <v/>
      </c>
      <c r="K299" s="216" t="str">
        <f>IFERROR(VLOOKUP($I299,'Institution Evaluation'!$A$55:$F$346,3,0),IFERROR(VLOOKUP($I299,'Privacy Analyst Evaluation'!$A$46:$F$120,3,0),""))&amp;""</f>
        <v/>
      </c>
      <c r="L299" s="216" t="str">
        <f>IFERROR(VLOOKUP($I299,'Institution Evaluation'!$A$55:$F$346,4,0),IFERROR(VLOOKUP($I299,'Privacy Analyst Evaluation'!$A$46:$F$120,4,0),""))&amp;""</f>
        <v/>
      </c>
      <c r="M299" s="216" t="str">
        <f>IFERROR(VLOOKUP($I299,'Institution Evaluation'!$A$55:$F$346,6,0),IFERROR(VLOOKUP($I299,'Privacy Analyst Evaluation'!$A$46:$F$120,6,0),""))&amp;""</f>
        <v/>
      </c>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row>
    <row r="300" spans="1:338" x14ac:dyDescent="0.3">
      <c r="A300" s="216" t="str">
        <f>IFERROR(IF($A299+1&gt;'(backend scoring)'!$T$335,"",$A299+1),"")</f>
        <v/>
      </c>
      <c r="B300" s="216" t="str">
        <f>_xlfn.XLOOKUP($A300,'(backend scoring)'!$V$2:$V$333,'(backend scoring)'!$A$2:$A$333,"")</f>
        <v/>
      </c>
      <c r="C300" s="216" t="str">
        <f>IFERROR(VLOOKUP($B300,'Institution Evaluation'!$A$55:$F$346,2,0),IFERROR(VLOOKUP($B300,'Privacy Analyst Evaluation'!$A$46:$F$120,2,0),""))&amp;""</f>
        <v/>
      </c>
      <c r="D300" s="216" t="str">
        <f>IFERROR(VLOOKUP($B300,'Institution Evaluation'!$A$55:$F$346,3,0),IFERROR(VLOOKUP($B300,'Privacy Analyst Evaluation'!$A$46:$F$120,3,0),""))&amp;""</f>
        <v/>
      </c>
      <c r="E300" s="216" t="str">
        <f>IFERROR(VLOOKUP($B300,'Institution Evaluation'!$A$55:$F$346,4,0),IFERROR(VLOOKUP($B300,'Privacy Analyst Evaluation'!$A$46:$F$120,4,0),""))&amp;""</f>
        <v/>
      </c>
      <c r="F300" s="216" t="str">
        <f>IFERROR(VLOOKUP($B300,'Institution Evaluation'!$A$55:$F$346,6,0),IFERROR(VLOOKUP($B300,'Privacy Analyst Evaluation'!$A$46:$F$120,6,0),""))&amp;""</f>
        <v/>
      </c>
      <c r="G300" s="217"/>
      <c r="H300" s="216" t="str">
        <f>IFERROR(IF($H299+1&gt;'(backend scoring)'!$Q$335,"",$H299+1),"")</f>
        <v/>
      </c>
      <c r="I300" s="216" t="str">
        <f>_xlfn.XLOOKUP($H300,'(backend scoring)'!$S$2:$S$333,'(backend scoring)'!$A$2:$A$333,"")</f>
        <v/>
      </c>
      <c r="J300" s="216" t="str">
        <f>IFERROR(VLOOKUP($I300,'Institution Evaluation'!$A$55:$F$346,2,0),IFERROR(VLOOKUP($I300,'Privacy Analyst Evaluation'!$A$46:$F$120,2,0),""))</f>
        <v/>
      </c>
      <c r="K300" s="216" t="str">
        <f>IFERROR(VLOOKUP($I300,'Institution Evaluation'!$A$55:$F$346,3,0),IFERROR(VLOOKUP($I300,'Privacy Analyst Evaluation'!$A$46:$F$120,3,0),""))&amp;""</f>
        <v/>
      </c>
      <c r="L300" s="216" t="str">
        <f>IFERROR(VLOOKUP($I300,'Institution Evaluation'!$A$55:$F$346,4,0),IFERROR(VLOOKUP($I300,'Privacy Analyst Evaluation'!$A$46:$F$120,4,0),""))&amp;""</f>
        <v/>
      </c>
      <c r="M300" s="216" t="str">
        <f>IFERROR(VLOOKUP($I300,'Institution Evaluation'!$A$55:$F$346,6,0),IFERROR(VLOOKUP($I300,'Privacy Analyst Evaluation'!$A$46:$F$120,6,0),""))&amp;""</f>
        <v/>
      </c>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row>
    <row r="301" spans="1:338" x14ac:dyDescent="0.3">
      <c r="A301" s="216" t="str">
        <f>IFERROR(IF($A300+1&gt;'(backend scoring)'!$T$335,"",$A300+1),"")</f>
        <v/>
      </c>
      <c r="B301" s="216" t="str">
        <f>_xlfn.XLOOKUP($A301,'(backend scoring)'!$V$2:$V$333,'(backend scoring)'!$A$2:$A$333,"")</f>
        <v/>
      </c>
      <c r="C301" s="216" t="str">
        <f>IFERROR(VLOOKUP($B301,'Institution Evaluation'!$A$55:$F$346,2,0),IFERROR(VLOOKUP($B301,'Privacy Analyst Evaluation'!$A$46:$F$120,2,0),""))&amp;""</f>
        <v/>
      </c>
      <c r="D301" s="216" t="str">
        <f>IFERROR(VLOOKUP($B301,'Institution Evaluation'!$A$55:$F$346,3,0),IFERROR(VLOOKUP($B301,'Privacy Analyst Evaluation'!$A$46:$F$120,3,0),""))&amp;""</f>
        <v/>
      </c>
      <c r="E301" s="216" t="str">
        <f>IFERROR(VLOOKUP($B301,'Institution Evaluation'!$A$55:$F$346,4,0),IFERROR(VLOOKUP($B301,'Privacy Analyst Evaluation'!$A$46:$F$120,4,0),""))&amp;""</f>
        <v/>
      </c>
      <c r="F301" s="216" t="str">
        <f>IFERROR(VLOOKUP($B301,'Institution Evaluation'!$A$55:$F$346,6,0),IFERROR(VLOOKUP($B301,'Privacy Analyst Evaluation'!$A$46:$F$120,6,0),""))&amp;""</f>
        <v/>
      </c>
      <c r="G301" s="217"/>
      <c r="H301" s="216" t="str">
        <f>IFERROR(IF($H300+1&gt;'(backend scoring)'!$Q$335,"",$H300+1),"")</f>
        <v/>
      </c>
      <c r="I301" s="216" t="str">
        <f>_xlfn.XLOOKUP($H301,'(backend scoring)'!$S$2:$S$333,'(backend scoring)'!$A$2:$A$333,"")</f>
        <v/>
      </c>
      <c r="J301" s="216" t="str">
        <f>IFERROR(VLOOKUP($I301,'Institution Evaluation'!$A$55:$F$346,2,0),IFERROR(VLOOKUP($I301,'Privacy Analyst Evaluation'!$A$46:$F$120,2,0),""))</f>
        <v/>
      </c>
      <c r="K301" s="216" t="str">
        <f>IFERROR(VLOOKUP($I301,'Institution Evaluation'!$A$55:$F$346,3,0),IFERROR(VLOOKUP($I301,'Privacy Analyst Evaluation'!$A$46:$F$120,3,0),""))&amp;""</f>
        <v/>
      </c>
      <c r="L301" s="216" t="str">
        <f>IFERROR(VLOOKUP($I301,'Institution Evaluation'!$A$55:$F$346,4,0),IFERROR(VLOOKUP($I301,'Privacy Analyst Evaluation'!$A$46:$F$120,4,0),""))&amp;""</f>
        <v/>
      </c>
      <c r="M301" s="216" t="str">
        <f>IFERROR(VLOOKUP($I301,'Institution Evaluation'!$A$55:$F$346,6,0),IFERROR(VLOOKUP($I301,'Privacy Analyst Evaluation'!$A$46:$F$120,6,0),""))&amp;""</f>
        <v/>
      </c>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row>
    <row r="302" spans="1:338" x14ac:dyDescent="0.3">
      <c r="A302" s="216" t="str">
        <f>IFERROR(IF($A301+1&gt;'(backend scoring)'!$T$335,"",$A301+1),"")</f>
        <v/>
      </c>
      <c r="B302" s="216" t="str">
        <f>_xlfn.XLOOKUP($A302,'(backend scoring)'!$V$2:$V$333,'(backend scoring)'!$A$2:$A$333,"")</f>
        <v/>
      </c>
      <c r="C302" s="216" t="str">
        <f>IFERROR(VLOOKUP($B302,'Institution Evaluation'!$A$55:$F$346,2,0),IFERROR(VLOOKUP($B302,'Privacy Analyst Evaluation'!$A$46:$F$120,2,0),""))&amp;""</f>
        <v/>
      </c>
      <c r="D302" s="216" t="str">
        <f>IFERROR(VLOOKUP($B302,'Institution Evaluation'!$A$55:$F$346,3,0),IFERROR(VLOOKUP($B302,'Privacy Analyst Evaluation'!$A$46:$F$120,3,0),""))&amp;""</f>
        <v/>
      </c>
      <c r="E302" s="216" t="str">
        <f>IFERROR(VLOOKUP($B302,'Institution Evaluation'!$A$55:$F$346,4,0),IFERROR(VLOOKUP($B302,'Privacy Analyst Evaluation'!$A$46:$F$120,4,0),""))&amp;""</f>
        <v/>
      </c>
      <c r="F302" s="216" t="str">
        <f>IFERROR(VLOOKUP($B302,'Institution Evaluation'!$A$55:$F$346,6,0),IFERROR(VLOOKUP($B302,'Privacy Analyst Evaluation'!$A$46:$F$120,6,0),""))&amp;""</f>
        <v/>
      </c>
      <c r="G302" s="217"/>
      <c r="H302" s="216" t="str">
        <f>IFERROR(IF($H301+1&gt;'(backend scoring)'!$Q$335,"",$H301+1),"")</f>
        <v/>
      </c>
      <c r="I302" s="216" t="str">
        <f>_xlfn.XLOOKUP($H302,'(backend scoring)'!$S$2:$S$333,'(backend scoring)'!$A$2:$A$333,"")</f>
        <v/>
      </c>
      <c r="J302" s="216" t="str">
        <f>IFERROR(VLOOKUP($I302,'Institution Evaluation'!$A$55:$F$346,2,0),IFERROR(VLOOKUP($I302,'Privacy Analyst Evaluation'!$A$46:$F$120,2,0),""))</f>
        <v/>
      </c>
      <c r="K302" s="216" t="str">
        <f>IFERROR(VLOOKUP($I302,'Institution Evaluation'!$A$55:$F$346,3,0),IFERROR(VLOOKUP($I302,'Privacy Analyst Evaluation'!$A$46:$F$120,3,0),""))&amp;""</f>
        <v/>
      </c>
      <c r="L302" s="216" t="str">
        <f>IFERROR(VLOOKUP($I302,'Institution Evaluation'!$A$55:$F$346,4,0),IFERROR(VLOOKUP($I302,'Privacy Analyst Evaluation'!$A$46:$F$120,4,0),""))&amp;""</f>
        <v/>
      </c>
      <c r="M302" s="216" t="str">
        <f>IFERROR(VLOOKUP($I302,'Institution Evaluation'!$A$55:$F$346,6,0),IFERROR(VLOOKUP($I302,'Privacy Analyst Evaluation'!$A$46:$F$120,6,0),""))&amp;""</f>
        <v/>
      </c>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row>
    <row r="303" spans="1:338" x14ac:dyDescent="0.3">
      <c r="A303" s="216" t="str">
        <f>IFERROR(IF($A302+1&gt;'(backend scoring)'!$T$335,"",$A302+1),"")</f>
        <v/>
      </c>
      <c r="B303" s="216" t="str">
        <f>_xlfn.XLOOKUP($A303,'(backend scoring)'!$V$2:$V$333,'(backend scoring)'!$A$2:$A$333,"")</f>
        <v/>
      </c>
      <c r="C303" s="216" t="str">
        <f>IFERROR(VLOOKUP($B303,'Institution Evaluation'!$A$55:$F$346,2,0),IFERROR(VLOOKUP($B303,'Privacy Analyst Evaluation'!$A$46:$F$120,2,0),""))&amp;""</f>
        <v/>
      </c>
      <c r="D303" s="216" t="str">
        <f>IFERROR(VLOOKUP($B303,'Institution Evaluation'!$A$55:$F$346,3,0),IFERROR(VLOOKUP($B303,'Privacy Analyst Evaluation'!$A$46:$F$120,3,0),""))&amp;""</f>
        <v/>
      </c>
      <c r="E303" s="216" t="str">
        <f>IFERROR(VLOOKUP($B303,'Institution Evaluation'!$A$55:$F$346,4,0),IFERROR(VLOOKUP($B303,'Privacy Analyst Evaluation'!$A$46:$F$120,4,0),""))&amp;""</f>
        <v/>
      </c>
      <c r="F303" s="216" t="str">
        <f>IFERROR(VLOOKUP($B303,'Institution Evaluation'!$A$55:$F$346,6,0),IFERROR(VLOOKUP($B303,'Privacy Analyst Evaluation'!$A$46:$F$120,6,0),""))&amp;""</f>
        <v/>
      </c>
      <c r="G303" s="217"/>
      <c r="H303" s="216" t="str">
        <f>IFERROR(IF($H302+1&gt;'(backend scoring)'!$Q$335,"",$H302+1),"")</f>
        <v/>
      </c>
      <c r="I303" s="216" t="str">
        <f>_xlfn.XLOOKUP($H303,'(backend scoring)'!$S$2:$S$333,'(backend scoring)'!$A$2:$A$333,"")</f>
        <v/>
      </c>
      <c r="J303" s="216" t="str">
        <f>IFERROR(VLOOKUP($I303,'Institution Evaluation'!$A$55:$F$346,2,0),IFERROR(VLOOKUP($I303,'Privacy Analyst Evaluation'!$A$46:$F$120,2,0),""))</f>
        <v/>
      </c>
      <c r="K303" s="216" t="str">
        <f>IFERROR(VLOOKUP($I303,'Institution Evaluation'!$A$55:$F$346,3,0),IFERROR(VLOOKUP($I303,'Privacy Analyst Evaluation'!$A$46:$F$120,3,0),""))&amp;""</f>
        <v/>
      </c>
      <c r="L303" s="216" t="str">
        <f>IFERROR(VLOOKUP($I303,'Institution Evaluation'!$A$55:$F$346,4,0),IFERROR(VLOOKUP($I303,'Privacy Analyst Evaluation'!$A$46:$F$120,4,0),""))&amp;""</f>
        <v/>
      </c>
      <c r="M303" s="216" t="str">
        <f>IFERROR(VLOOKUP($I303,'Institution Evaluation'!$A$55:$F$346,6,0),IFERROR(VLOOKUP($I303,'Privacy Analyst Evaluation'!$A$46:$F$120,6,0),""))&amp;""</f>
        <v/>
      </c>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row>
    <row r="304" spans="1:338" x14ac:dyDescent="0.3">
      <c r="A304" s="216" t="str">
        <f>IFERROR(IF($A303+1&gt;'(backend scoring)'!$T$335,"",$A303+1),"")</f>
        <v/>
      </c>
      <c r="B304" s="216" t="str">
        <f>_xlfn.XLOOKUP($A304,'(backend scoring)'!$V$2:$V$333,'(backend scoring)'!$A$2:$A$333,"")</f>
        <v/>
      </c>
      <c r="C304" s="216" t="str">
        <f>IFERROR(VLOOKUP($B304,'Institution Evaluation'!$A$55:$F$346,2,0),IFERROR(VLOOKUP($B304,'Privacy Analyst Evaluation'!$A$46:$F$120,2,0),""))&amp;""</f>
        <v/>
      </c>
      <c r="D304" s="216" t="str">
        <f>IFERROR(VLOOKUP($B304,'Institution Evaluation'!$A$55:$F$346,3,0),IFERROR(VLOOKUP($B304,'Privacy Analyst Evaluation'!$A$46:$F$120,3,0),""))&amp;""</f>
        <v/>
      </c>
      <c r="E304" s="216" t="str">
        <f>IFERROR(VLOOKUP($B304,'Institution Evaluation'!$A$55:$F$346,4,0),IFERROR(VLOOKUP($B304,'Privacy Analyst Evaluation'!$A$46:$F$120,4,0),""))&amp;""</f>
        <v/>
      </c>
      <c r="F304" s="216" t="str">
        <f>IFERROR(VLOOKUP($B304,'Institution Evaluation'!$A$55:$F$346,6,0),IFERROR(VLOOKUP($B304,'Privacy Analyst Evaluation'!$A$46:$F$120,6,0),""))&amp;""</f>
        <v/>
      </c>
      <c r="G304" s="217"/>
      <c r="H304" s="216" t="str">
        <f>IFERROR(IF($H303+1&gt;'(backend scoring)'!$Q$335,"",$H303+1),"")</f>
        <v/>
      </c>
      <c r="I304" s="216" t="str">
        <f>_xlfn.XLOOKUP($H304,'(backend scoring)'!$S$2:$S$333,'(backend scoring)'!$A$2:$A$333,"")</f>
        <v/>
      </c>
      <c r="J304" s="216" t="str">
        <f>IFERROR(VLOOKUP($I304,'Institution Evaluation'!$A$55:$F$346,2,0),IFERROR(VLOOKUP($I304,'Privacy Analyst Evaluation'!$A$46:$F$120,2,0),""))</f>
        <v/>
      </c>
      <c r="K304" s="216" t="str">
        <f>IFERROR(VLOOKUP($I304,'Institution Evaluation'!$A$55:$F$346,3,0),IFERROR(VLOOKUP($I304,'Privacy Analyst Evaluation'!$A$46:$F$120,3,0),""))&amp;""</f>
        <v/>
      </c>
      <c r="L304" s="216" t="str">
        <f>IFERROR(VLOOKUP($I304,'Institution Evaluation'!$A$55:$F$346,4,0),IFERROR(VLOOKUP($I304,'Privacy Analyst Evaluation'!$A$46:$F$120,4,0),""))&amp;""</f>
        <v/>
      </c>
      <c r="M304" s="216" t="str">
        <f>IFERROR(VLOOKUP($I304,'Institution Evaluation'!$A$55:$F$346,6,0),IFERROR(VLOOKUP($I304,'Privacy Analyst Evaluation'!$A$46:$F$120,6,0),""))&amp;""</f>
        <v/>
      </c>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row>
    <row r="305" spans="1:338" x14ac:dyDescent="0.3">
      <c r="A305" s="216" t="str">
        <f>IFERROR(IF($A304+1&gt;'(backend scoring)'!$T$335,"",$A304+1),"")</f>
        <v/>
      </c>
      <c r="B305" s="216" t="str">
        <f>_xlfn.XLOOKUP($A305,'(backend scoring)'!$V$2:$V$333,'(backend scoring)'!$A$2:$A$333,"")</f>
        <v/>
      </c>
      <c r="C305" s="216" t="str">
        <f>IFERROR(VLOOKUP($B305,'Institution Evaluation'!$A$55:$F$346,2,0),IFERROR(VLOOKUP($B305,'Privacy Analyst Evaluation'!$A$46:$F$120,2,0),""))&amp;""</f>
        <v/>
      </c>
      <c r="D305" s="216" t="str">
        <f>IFERROR(VLOOKUP($B305,'Institution Evaluation'!$A$55:$F$346,3,0),IFERROR(VLOOKUP($B305,'Privacy Analyst Evaluation'!$A$46:$F$120,3,0),""))&amp;""</f>
        <v/>
      </c>
      <c r="E305" s="216" t="str">
        <f>IFERROR(VLOOKUP($B305,'Institution Evaluation'!$A$55:$F$346,4,0),IFERROR(VLOOKUP($B305,'Privacy Analyst Evaluation'!$A$46:$F$120,4,0),""))&amp;""</f>
        <v/>
      </c>
      <c r="F305" s="216" t="str">
        <f>IFERROR(VLOOKUP($B305,'Institution Evaluation'!$A$55:$F$346,6,0),IFERROR(VLOOKUP($B305,'Privacy Analyst Evaluation'!$A$46:$F$120,6,0),""))&amp;""</f>
        <v/>
      </c>
      <c r="G305" s="217"/>
      <c r="H305" s="216" t="str">
        <f>IFERROR(IF($H304+1&gt;'(backend scoring)'!$Q$335,"",$H304+1),"")</f>
        <v/>
      </c>
      <c r="I305" s="216" t="str">
        <f>_xlfn.XLOOKUP($H305,'(backend scoring)'!$S$2:$S$333,'(backend scoring)'!$A$2:$A$333,"")</f>
        <v/>
      </c>
      <c r="J305" s="216" t="str">
        <f>IFERROR(VLOOKUP($I305,'Institution Evaluation'!$A$55:$F$346,2,0),IFERROR(VLOOKUP($I305,'Privacy Analyst Evaluation'!$A$46:$F$120,2,0),""))</f>
        <v/>
      </c>
      <c r="K305" s="216" t="str">
        <f>IFERROR(VLOOKUP($I305,'Institution Evaluation'!$A$55:$F$346,3,0),IFERROR(VLOOKUP($I305,'Privacy Analyst Evaluation'!$A$46:$F$120,3,0),""))&amp;""</f>
        <v/>
      </c>
      <c r="L305" s="216" t="str">
        <f>IFERROR(VLOOKUP($I305,'Institution Evaluation'!$A$55:$F$346,4,0),IFERROR(VLOOKUP($I305,'Privacy Analyst Evaluation'!$A$46:$F$120,4,0),""))&amp;""</f>
        <v/>
      </c>
      <c r="M305" s="216" t="str">
        <f>IFERROR(VLOOKUP($I305,'Institution Evaluation'!$A$55:$F$346,6,0),IFERROR(VLOOKUP($I305,'Privacy Analyst Evaluation'!$A$46:$F$120,6,0),""))&amp;""</f>
        <v/>
      </c>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row>
    <row r="306" spans="1:338" x14ac:dyDescent="0.3">
      <c r="A306" s="216" t="str">
        <f>IFERROR(IF($A305+1&gt;'(backend scoring)'!$T$335,"",$A305+1),"")</f>
        <v/>
      </c>
      <c r="B306" s="216" t="str">
        <f>_xlfn.XLOOKUP($A306,'(backend scoring)'!$V$2:$V$333,'(backend scoring)'!$A$2:$A$333,"")</f>
        <v/>
      </c>
      <c r="C306" s="216" t="str">
        <f>IFERROR(VLOOKUP($B306,'Institution Evaluation'!$A$55:$F$346,2,0),IFERROR(VLOOKUP($B306,'Privacy Analyst Evaluation'!$A$46:$F$120,2,0),""))&amp;""</f>
        <v/>
      </c>
      <c r="D306" s="216" t="str">
        <f>IFERROR(VLOOKUP($B306,'Institution Evaluation'!$A$55:$F$346,3,0),IFERROR(VLOOKUP($B306,'Privacy Analyst Evaluation'!$A$46:$F$120,3,0),""))&amp;""</f>
        <v/>
      </c>
      <c r="E306" s="216" t="str">
        <f>IFERROR(VLOOKUP($B306,'Institution Evaluation'!$A$55:$F$346,4,0),IFERROR(VLOOKUP($B306,'Privacy Analyst Evaluation'!$A$46:$F$120,4,0),""))&amp;""</f>
        <v/>
      </c>
      <c r="F306" s="216" t="str">
        <f>IFERROR(VLOOKUP($B306,'Institution Evaluation'!$A$55:$F$346,6,0),IFERROR(VLOOKUP($B306,'Privacy Analyst Evaluation'!$A$46:$F$120,6,0),""))&amp;""</f>
        <v/>
      </c>
      <c r="G306" s="217"/>
      <c r="H306" s="216" t="str">
        <f>IFERROR(IF($H305+1&gt;'(backend scoring)'!$Q$335,"",$H305+1),"")</f>
        <v/>
      </c>
      <c r="I306" s="216" t="str">
        <f>_xlfn.XLOOKUP($H306,'(backend scoring)'!$S$2:$S$333,'(backend scoring)'!$A$2:$A$333,"")</f>
        <v/>
      </c>
      <c r="J306" s="216" t="str">
        <f>IFERROR(VLOOKUP($I306,'Institution Evaluation'!$A$55:$F$346,2,0),IFERROR(VLOOKUP($I306,'Privacy Analyst Evaluation'!$A$46:$F$120,2,0),""))</f>
        <v/>
      </c>
      <c r="K306" s="216" t="str">
        <f>IFERROR(VLOOKUP($I306,'Institution Evaluation'!$A$55:$F$346,3,0),IFERROR(VLOOKUP($I306,'Privacy Analyst Evaluation'!$A$46:$F$120,3,0),""))&amp;""</f>
        <v/>
      </c>
      <c r="L306" s="216" t="str">
        <f>IFERROR(VLOOKUP($I306,'Institution Evaluation'!$A$55:$F$346,4,0),IFERROR(VLOOKUP($I306,'Privacy Analyst Evaluation'!$A$46:$F$120,4,0),""))&amp;""</f>
        <v/>
      </c>
      <c r="M306" s="216" t="str">
        <f>IFERROR(VLOOKUP($I306,'Institution Evaluation'!$A$55:$F$346,6,0),IFERROR(VLOOKUP($I306,'Privacy Analyst Evaluation'!$A$46:$F$120,6,0),""))&amp;""</f>
        <v/>
      </c>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row>
    <row r="307" spans="1:338" x14ac:dyDescent="0.3">
      <c r="A307" s="216" t="str">
        <f>IFERROR(IF($A306+1&gt;'(backend scoring)'!$T$335,"",$A306+1),"")</f>
        <v/>
      </c>
      <c r="B307" s="216" t="str">
        <f>_xlfn.XLOOKUP($A307,'(backend scoring)'!$V$2:$V$333,'(backend scoring)'!$A$2:$A$333,"")</f>
        <v/>
      </c>
      <c r="C307" s="216" t="str">
        <f>IFERROR(VLOOKUP($B307,'Institution Evaluation'!$A$55:$F$346,2,0),IFERROR(VLOOKUP($B307,'Privacy Analyst Evaluation'!$A$46:$F$120,2,0),""))&amp;""</f>
        <v/>
      </c>
      <c r="D307" s="216" t="str">
        <f>IFERROR(VLOOKUP($B307,'Institution Evaluation'!$A$55:$F$346,3,0),IFERROR(VLOOKUP($B307,'Privacy Analyst Evaluation'!$A$46:$F$120,3,0),""))&amp;""</f>
        <v/>
      </c>
      <c r="E307" s="216" t="str">
        <f>IFERROR(VLOOKUP($B307,'Institution Evaluation'!$A$55:$F$346,4,0),IFERROR(VLOOKUP($B307,'Privacy Analyst Evaluation'!$A$46:$F$120,4,0),""))&amp;""</f>
        <v/>
      </c>
      <c r="F307" s="216" t="str">
        <f>IFERROR(VLOOKUP($B307,'Institution Evaluation'!$A$55:$F$346,6,0),IFERROR(VLOOKUP($B307,'Privacy Analyst Evaluation'!$A$46:$F$120,6,0),""))&amp;""</f>
        <v/>
      </c>
      <c r="G307" s="217"/>
      <c r="H307" s="216" t="str">
        <f>IFERROR(IF($H306+1&gt;'(backend scoring)'!$Q$335,"",$H306+1),"")</f>
        <v/>
      </c>
      <c r="I307" s="216" t="str">
        <f>_xlfn.XLOOKUP($H307,'(backend scoring)'!$S$2:$S$333,'(backend scoring)'!$A$2:$A$333,"")</f>
        <v/>
      </c>
      <c r="J307" s="216" t="str">
        <f>IFERROR(VLOOKUP($I307,'Institution Evaluation'!$A$55:$F$346,2,0),IFERROR(VLOOKUP($I307,'Privacy Analyst Evaluation'!$A$46:$F$120,2,0),""))</f>
        <v/>
      </c>
      <c r="K307" s="216" t="str">
        <f>IFERROR(VLOOKUP($I307,'Institution Evaluation'!$A$55:$F$346,3,0),IFERROR(VLOOKUP($I307,'Privacy Analyst Evaluation'!$A$46:$F$120,3,0),""))&amp;""</f>
        <v/>
      </c>
      <c r="L307" s="216" t="str">
        <f>IFERROR(VLOOKUP($I307,'Institution Evaluation'!$A$55:$F$346,4,0),IFERROR(VLOOKUP($I307,'Privacy Analyst Evaluation'!$A$46:$F$120,4,0),""))&amp;""</f>
        <v/>
      </c>
      <c r="M307" s="216" t="str">
        <f>IFERROR(VLOOKUP($I307,'Institution Evaluation'!$A$55:$F$346,6,0),IFERROR(VLOOKUP($I307,'Privacy Analyst Evaluation'!$A$46:$F$120,6,0),""))&amp;""</f>
        <v/>
      </c>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row>
    <row r="308" spans="1:338" x14ac:dyDescent="0.3">
      <c r="A308" s="216" t="str">
        <f>IFERROR(IF($A307+1&gt;'(backend scoring)'!$T$335,"",$A307+1),"")</f>
        <v/>
      </c>
      <c r="B308" s="216" t="str">
        <f>_xlfn.XLOOKUP($A308,'(backend scoring)'!$V$2:$V$333,'(backend scoring)'!$A$2:$A$333,"")</f>
        <v/>
      </c>
      <c r="C308" s="216" t="str">
        <f>IFERROR(VLOOKUP($B308,'Institution Evaluation'!$A$55:$F$346,2,0),IFERROR(VLOOKUP($B308,'Privacy Analyst Evaluation'!$A$46:$F$120,2,0),""))&amp;""</f>
        <v/>
      </c>
      <c r="D308" s="216" t="str">
        <f>IFERROR(VLOOKUP($B308,'Institution Evaluation'!$A$55:$F$346,3,0),IFERROR(VLOOKUP($B308,'Privacy Analyst Evaluation'!$A$46:$F$120,3,0),""))&amp;""</f>
        <v/>
      </c>
      <c r="E308" s="216" t="str">
        <f>IFERROR(VLOOKUP($B308,'Institution Evaluation'!$A$55:$F$346,4,0),IFERROR(VLOOKUP($B308,'Privacy Analyst Evaluation'!$A$46:$F$120,4,0),""))&amp;""</f>
        <v/>
      </c>
      <c r="F308" s="216" t="str">
        <f>IFERROR(VLOOKUP($B308,'Institution Evaluation'!$A$55:$F$346,6,0),IFERROR(VLOOKUP($B308,'Privacy Analyst Evaluation'!$A$46:$F$120,6,0),""))&amp;""</f>
        <v/>
      </c>
      <c r="G308" s="217"/>
      <c r="H308" s="216" t="str">
        <f>IFERROR(IF($H307+1&gt;'(backend scoring)'!$Q$335,"",$H307+1),"")</f>
        <v/>
      </c>
      <c r="I308" s="216" t="str">
        <f>_xlfn.XLOOKUP($H308,'(backend scoring)'!$S$2:$S$333,'(backend scoring)'!$A$2:$A$333,"")</f>
        <v/>
      </c>
      <c r="J308" s="216" t="str">
        <f>IFERROR(VLOOKUP($I308,'Institution Evaluation'!$A$55:$F$346,2,0),IFERROR(VLOOKUP($I308,'Privacy Analyst Evaluation'!$A$46:$F$120,2,0),""))</f>
        <v/>
      </c>
      <c r="K308" s="216" t="str">
        <f>IFERROR(VLOOKUP($I308,'Institution Evaluation'!$A$55:$F$346,3,0),IFERROR(VLOOKUP($I308,'Privacy Analyst Evaluation'!$A$46:$F$120,3,0),""))&amp;""</f>
        <v/>
      </c>
      <c r="L308" s="216" t="str">
        <f>IFERROR(VLOOKUP($I308,'Institution Evaluation'!$A$55:$F$346,4,0),IFERROR(VLOOKUP($I308,'Privacy Analyst Evaluation'!$A$46:$F$120,4,0),""))&amp;""</f>
        <v/>
      </c>
      <c r="M308" s="216" t="str">
        <f>IFERROR(VLOOKUP($I308,'Institution Evaluation'!$A$55:$F$346,6,0),IFERROR(VLOOKUP($I308,'Privacy Analyst Evaluation'!$A$46:$F$120,6,0),""))&amp;""</f>
        <v/>
      </c>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row>
    <row r="309" spans="1:338" x14ac:dyDescent="0.3">
      <c r="A309" s="216" t="str">
        <f>IFERROR(IF($A308+1&gt;'(backend scoring)'!$T$335,"",$A308+1),"")</f>
        <v/>
      </c>
      <c r="B309" s="216" t="str">
        <f>_xlfn.XLOOKUP($A309,'(backend scoring)'!$V$2:$V$333,'(backend scoring)'!$A$2:$A$333,"")</f>
        <v/>
      </c>
      <c r="C309" s="216" t="str">
        <f>IFERROR(VLOOKUP($B309,'Institution Evaluation'!$A$55:$F$346,2,0),IFERROR(VLOOKUP($B309,'Privacy Analyst Evaluation'!$A$46:$F$120,2,0),""))&amp;""</f>
        <v/>
      </c>
      <c r="D309" s="216" t="str">
        <f>IFERROR(VLOOKUP($B309,'Institution Evaluation'!$A$55:$F$346,3,0),IFERROR(VLOOKUP($B309,'Privacy Analyst Evaluation'!$A$46:$F$120,3,0),""))&amp;""</f>
        <v/>
      </c>
      <c r="E309" s="216" t="str">
        <f>IFERROR(VLOOKUP($B309,'Institution Evaluation'!$A$55:$F$346,4,0),IFERROR(VLOOKUP($B309,'Privacy Analyst Evaluation'!$A$46:$F$120,4,0),""))&amp;""</f>
        <v/>
      </c>
      <c r="F309" s="216" t="str">
        <f>IFERROR(VLOOKUP($B309,'Institution Evaluation'!$A$55:$F$346,6,0),IFERROR(VLOOKUP($B309,'Privacy Analyst Evaluation'!$A$46:$F$120,6,0),""))&amp;""</f>
        <v/>
      </c>
      <c r="G309" s="217"/>
      <c r="H309" s="216" t="str">
        <f>IFERROR(IF($H308+1&gt;'(backend scoring)'!$Q$335,"",$H308+1),"")</f>
        <v/>
      </c>
      <c r="I309" s="216" t="str">
        <f>_xlfn.XLOOKUP($H309,'(backend scoring)'!$S$2:$S$333,'(backend scoring)'!$A$2:$A$333,"")</f>
        <v/>
      </c>
      <c r="J309" s="216" t="str">
        <f>IFERROR(VLOOKUP($I309,'Institution Evaluation'!$A$55:$F$346,2,0),IFERROR(VLOOKUP($I309,'Privacy Analyst Evaluation'!$A$46:$F$120,2,0),""))</f>
        <v/>
      </c>
      <c r="K309" s="216" t="str">
        <f>IFERROR(VLOOKUP($I309,'Institution Evaluation'!$A$55:$F$346,3,0),IFERROR(VLOOKUP($I309,'Privacy Analyst Evaluation'!$A$46:$F$120,3,0),""))&amp;""</f>
        <v/>
      </c>
      <c r="L309" s="216" t="str">
        <f>IFERROR(VLOOKUP($I309,'Institution Evaluation'!$A$55:$F$346,4,0),IFERROR(VLOOKUP($I309,'Privacy Analyst Evaluation'!$A$46:$F$120,4,0),""))&amp;""</f>
        <v/>
      </c>
      <c r="M309" s="216" t="str">
        <f>IFERROR(VLOOKUP($I309,'Institution Evaluation'!$A$55:$F$346,6,0),IFERROR(VLOOKUP($I309,'Privacy Analyst Evaluation'!$A$46:$F$120,6,0),""))&amp;""</f>
        <v/>
      </c>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row>
    <row r="310" spans="1:338" x14ac:dyDescent="0.3">
      <c r="A310" s="216" t="str">
        <f>IFERROR(IF($A309+1&gt;'(backend scoring)'!$T$335,"",$A309+1),"")</f>
        <v/>
      </c>
      <c r="B310" s="216" t="str">
        <f>_xlfn.XLOOKUP($A310,'(backend scoring)'!$V$2:$V$333,'(backend scoring)'!$A$2:$A$333,"")</f>
        <v/>
      </c>
      <c r="C310" s="216" t="str">
        <f>IFERROR(VLOOKUP($B310,'Institution Evaluation'!$A$55:$F$346,2,0),IFERROR(VLOOKUP($B310,'Privacy Analyst Evaluation'!$A$46:$F$120,2,0),""))&amp;""</f>
        <v/>
      </c>
      <c r="D310" s="216" t="str">
        <f>IFERROR(VLOOKUP($B310,'Institution Evaluation'!$A$55:$F$346,3,0),IFERROR(VLOOKUP($B310,'Privacy Analyst Evaluation'!$A$46:$F$120,3,0),""))&amp;""</f>
        <v/>
      </c>
      <c r="E310" s="216" t="str">
        <f>IFERROR(VLOOKUP($B310,'Institution Evaluation'!$A$55:$F$346,4,0),IFERROR(VLOOKUP($B310,'Privacy Analyst Evaluation'!$A$46:$F$120,4,0),""))&amp;""</f>
        <v/>
      </c>
      <c r="F310" s="216" t="str">
        <f>IFERROR(VLOOKUP($B310,'Institution Evaluation'!$A$55:$F$346,6,0),IFERROR(VLOOKUP($B310,'Privacy Analyst Evaluation'!$A$46:$F$120,6,0),""))&amp;""</f>
        <v/>
      </c>
      <c r="G310" s="217"/>
      <c r="H310" s="216" t="str">
        <f>IFERROR(IF($H309+1&gt;'(backend scoring)'!$Q$335,"",$H309+1),"")</f>
        <v/>
      </c>
      <c r="I310" s="216" t="str">
        <f>_xlfn.XLOOKUP($H310,'(backend scoring)'!$S$2:$S$333,'(backend scoring)'!$A$2:$A$333,"")</f>
        <v/>
      </c>
      <c r="J310" s="216" t="str">
        <f>IFERROR(VLOOKUP($I310,'Institution Evaluation'!$A$55:$F$346,2,0),IFERROR(VLOOKUP($I310,'Privacy Analyst Evaluation'!$A$46:$F$120,2,0),""))</f>
        <v/>
      </c>
      <c r="K310" s="216" t="str">
        <f>IFERROR(VLOOKUP($I310,'Institution Evaluation'!$A$55:$F$346,3,0),IFERROR(VLOOKUP($I310,'Privacy Analyst Evaluation'!$A$46:$F$120,3,0),""))&amp;""</f>
        <v/>
      </c>
      <c r="L310" s="216" t="str">
        <f>IFERROR(VLOOKUP($I310,'Institution Evaluation'!$A$55:$F$346,4,0),IFERROR(VLOOKUP($I310,'Privacy Analyst Evaluation'!$A$46:$F$120,4,0),""))&amp;""</f>
        <v/>
      </c>
      <c r="M310" s="216" t="str">
        <f>IFERROR(VLOOKUP($I310,'Institution Evaluation'!$A$55:$F$346,6,0),IFERROR(VLOOKUP($I310,'Privacy Analyst Evaluation'!$A$46:$F$120,6,0),""))&amp;""</f>
        <v/>
      </c>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row>
    <row r="311" spans="1:338" x14ac:dyDescent="0.3">
      <c r="A311" s="216" t="str">
        <f>IFERROR(IF($A310+1&gt;'(backend scoring)'!$T$335,"",$A310+1),"")</f>
        <v/>
      </c>
      <c r="B311" s="216" t="str">
        <f>_xlfn.XLOOKUP($A311,'(backend scoring)'!$V$2:$V$333,'(backend scoring)'!$A$2:$A$333,"")</f>
        <v/>
      </c>
      <c r="C311" s="216" t="str">
        <f>IFERROR(VLOOKUP($B311,'Institution Evaluation'!$A$55:$F$346,2,0),IFERROR(VLOOKUP($B311,'Privacy Analyst Evaluation'!$A$46:$F$120,2,0),""))&amp;""</f>
        <v/>
      </c>
      <c r="D311" s="216" t="str">
        <f>IFERROR(VLOOKUP($B311,'Institution Evaluation'!$A$55:$F$346,3,0),IFERROR(VLOOKUP($B311,'Privacy Analyst Evaluation'!$A$46:$F$120,3,0),""))&amp;""</f>
        <v/>
      </c>
      <c r="E311" s="216" t="str">
        <f>IFERROR(VLOOKUP($B311,'Institution Evaluation'!$A$55:$F$346,4,0),IFERROR(VLOOKUP($B311,'Privacy Analyst Evaluation'!$A$46:$F$120,4,0),""))&amp;""</f>
        <v/>
      </c>
      <c r="F311" s="216" t="str">
        <f>IFERROR(VLOOKUP($B311,'Institution Evaluation'!$A$55:$F$346,6,0),IFERROR(VLOOKUP($B311,'Privacy Analyst Evaluation'!$A$46:$F$120,6,0),""))&amp;""</f>
        <v/>
      </c>
      <c r="G311" s="217"/>
      <c r="H311" s="216" t="str">
        <f>IFERROR(IF($H310+1&gt;'(backend scoring)'!$Q$335,"",$H310+1),"")</f>
        <v/>
      </c>
      <c r="I311" s="216" t="str">
        <f>_xlfn.XLOOKUP($H311,'(backend scoring)'!$S$2:$S$333,'(backend scoring)'!$A$2:$A$333,"")</f>
        <v/>
      </c>
      <c r="J311" s="216" t="str">
        <f>IFERROR(VLOOKUP($I311,'Institution Evaluation'!$A$55:$F$346,2,0),IFERROR(VLOOKUP($I311,'Privacy Analyst Evaluation'!$A$46:$F$120,2,0),""))</f>
        <v/>
      </c>
      <c r="K311" s="216" t="str">
        <f>IFERROR(VLOOKUP($I311,'Institution Evaluation'!$A$55:$F$346,3,0),IFERROR(VLOOKUP($I311,'Privacy Analyst Evaluation'!$A$46:$F$120,3,0),""))&amp;""</f>
        <v/>
      </c>
      <c r="L311" s="216" t="str">
        <f>IFERROR(VLOOKUP($I311,'Institution Evaluation'!$A$55:$F$346,4,0),IFERROR(VLOOKUP($I311,'Privacy Analyst Evaluation'!$A$46:$F$120,4,0),""))&amp;""</f>
        <v/>
      </c>
      <c r="M311" s="216" t="str">
        <f>IFERROR(VLOOKUP($I311,'Institution Evaluation'!$A$55:$F$346,6,0),IFERROR(VLOOKUP($I311,'Privacy Analyst Evaluation'!$A$46:$F$120,6,0),""))&amp;""</f>
        <v/>
      </c>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row>
    <row r="312" spans="1:338" x14ac:dyDescent="0.3">
      <c r="A312" s="216" t="str">
        <f>IFERROR(IF($A311+1&gt;'(backend scoring)'!$T$335,"",$A311+1),"")</f>
        <v/>
      </c>
      <c r="B312" s="216" t="str">
        <f>_xlfn.XLOOKUP($A312,'(backend scoring)'!$V$2:$V$333,'(backend scoring)'!$A$2:$A$333,"")</f>
        <v/>
      </c>
      <c r="C312" s="216" t="str">
        <f>IFERROR(VLOOKUP($B312,'Institution Evaluation'!$A$55:$F$346,2,0),IFERROR(VLOOKUP($B312,'Privacy Analyst Evaluation'!$A$46:$F$120,2,0),""))&amp;""</f>
        <v/>
      </c>
      <c r="D312" s="216" t="str">
        <f>IFERROR(VLOOKUP($B312,'Institution Evaluation'!$A$55:$F$346,3,0),IFERROR(VLOOKUP($B312,'Privacy Analyst Evaluation'!$A$46:$F$120,3,0),""))&amp;""</f>
        <v/>
      </c>
      <c r="E312" s="216" t="str">
        <f>IFERROR(VLOOKUP($B312,'Institution Evaluation'!$A$55:$F$346,4,0),IFERROR(VLOOKUP($B312,'Privacy Analyst Evaluation'!$A$46:$F$120,4,0),""))&amp;""</f>
        <v/>
      </c>
      <c r="F312" s="216" t="str">
        <f>IFERROR(VLOOKUP($B312,'Institution Evaluation'!$A$55:$F$346,6,0),IFERROR(VLOOKUP($B312,'Privacy Analyst Evaluation'!$A$46:$F$120,6,0),""))&amp;""</f>
        <v/>
      </c>
      <c r="G312" s="217"/>
      <c r="H312" s="216" t="str">
        <f>IFERROR(IF($H311+1&gt;'(backend scoring)'!$Q$335,"",$H311+1),"")</f>
        <v/>
      </c>
      <c r="I312" s="216" t="str">
        <f>_xlfn.XLOOKUP($H312,'(backend scoring)'!$S$2:$S$333,'(backend scoring)'!$A$2:$A$333,"")</f>
        <v/>
      </c>
      <c r="J312" s="216" t="str">
        <f>IFERROR(VLOOKUP($I312,'Institution Evaluation'!$A$55:$F$346,2,0),IFERROR(VLOOKUP($I312,'Privacy Analyst Evaluation'!$A$46:$F$120,2,0),""))</f>
        <v/>
      </c>
      <c r="K312" s="216" t="str">
        <f>IFERROR(VLOOKUP($I312,'Institution Evaluation'!$A$55:$F$346,3,0),IFERROR(VLOOKUP($I312,'Privacy Analyst Evaluation'!$A$46:$F$120,3,0),""))&amp;""</f>
        <v/>
      </c>
      <c r="L312" s="216" t="str">
        <f>IFERROR(VLOOKUP($I312,'Institution Evaluation'!$A$55:$F$346,4,0),IFERROR(VLOOKUP($I312,'Privacy Analyst Evaluation'!$A$46:$F$120,4,0),""))&amp;""</f>
        <v/>
      </c>
      <c r="M312" s="216" t="str">
        <f>IFERROR(VLOOKUP($I312,'Institution Evaluation'!$A$55:$F$346,6,0),IFERROR(VLOOKUP($I312,'Privacy Analyst Evaluation'!$A$46:$F$120,6,0),""))&amp;""</f>
        <v/>
      </c>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row>
    <row r="313" spans="1:338" x14ac:dyDescent="0.3">
      <c r="A313" s="216" t="str">
        <f>IFERROR(IF($A312+1&gt;'(backend scoring)'!$T$335,"",$A312+1),"")</f>
        <v/>
      </c>
      <c r="B313" s="216" t="str">
        <f>_xlfn.XLOOKUP($A313,'(backend scoring)'!$V$2:$V$333,'(backend scoring)'!$A$2:$A$333,"")</f>
        <v/>
      </c>
      <c r="C313" s="216" t="str">
        <f>IFERROR(VLOOKUP($B313,'Institution Evaluation'!$A$55:$F$346,2,0),IFERROR(VLOOKUP($B313,'Privacy Analyst Evaluation'!$A$46:$F$120,2,0),""))&amp;""</f>
        <v/>
      </c>
      <c r="D313" s="216" t="str">
        <f>IFERROR(VLOOKUP($B313,'Institution Evaluation'!$A$55:$F$346,3,0),IFERROR(VLOOKUP($B313,'Privacy Analyst Evaluation'!$A$46:$F$120,3,0),""))&amp;""</f>
        <v/>
      </c>
      <c r="E313" s="216" t="str">
        <f>IFERROR(VLOOKUP($B313,'Institution Evaluation'!$A$55:$F$346,4,0),IFERROR(VLOOKUP($B313,'Privacy Analyst Evaluation'!$A$46:$F$120,4,0),""))&amp;""</f>
        <v/>
      </c>
      <c r="F313" s="216" t="str">
        <f>IFERROR(VLOOKUP($B313,'Institution Evaluation'!$A$55:$F$346,6,0),IFERROR(VLOOKUP($B313,'Privacy Analyst Evaluation'!$A$46:$F$120,6,0),""))&amp;""</f>
        <v/>
      </c>
      <c r="G313" s="217"/>
      <c r="H313" s="216" t="str">
        <f>IFERROR(IF($H312+1&gt;'(backend scoring)'!$Q$335,"",$H312+1),"")</f>
        <v/>
      </c>
      <c r="I313" s="216" t="str">
        <f>_xlfn.XLOOKUP($H313,'(backend scoring)'!$S$2:$S$333,'(backend scoring)'!$A$2:$A$333,"")</f>
        <v/>
      </c>
      <c r="J313" s="216" t="str">
        <f>IFERROR(VLOOKUP($I313,'Institution Evaluation'!$A$55:$F$346,2,0),IFERROR(VLOOKUP($I313,'Privacy Analyst Evaluation'!$A$46:$F$120,2,0),""))</f>
        <v/>
      </c>
      <c r="K313" s="216" t="str">
        <f>IFERROR(VLOOKUP($I313,'Institution Evaluation'!$A$55:$F$346,3,0),IFERROR(VLOOKUP($I313,'Privacy Analyst Evaluation'!$A$46:$F$120,3,0),""))&amp;""</f>
        <v/>
      </c>
      <c r="L313" s="216" t="str">
        <f>IFERROR(VLOOKUP($I313,'Institution Evaluation'!$A$55:$F$346,4,0),IFERROR(VLOOKUP($I313,'Privacy Analyst Evaluation'!$A$46:$F$120,4,0),""))&amp;""</f>
        <v/>
      </c>
      <c r="M313" s="216" t="str">
        <f>IFERROR(VLOOKUP($I313,'Institution Evaluation'!$A$55:$F$346,6,0),IFERROR(VLOOKUP($I313,'Privacy Analyst Evaluation'!$A$46:$F$120,6,0),""))&amp;""</f>
        <v/>
      </c>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row>
    <row r="314" spans="1:338" x14ac:dyDescent="0.3">
      <c r="A314" s="216" t="str">
        <f>IFERROR(IF($A313+1&gt;'(backend scoring)'!$T$335,"",$A313+1),"")</f>
        <v/>
      </c>
      <c r="B314" s="216" t="str">
        <f>_xlfn.XLOOKUP($A314,'(backend scoring)'!$V$2:$V$333,'(backend scoring)'!$A$2:$A$333,"")</f>
        <v/>
      </c>
      <c r="C314" s="216" t="str">
        <f>IFERROR(VLOOKUP($B314,'Institution Evaluation'!$A$55:$F$346,2,0),IFERROR(VLOOKUP($B314,'Privacy Analyst Evaluation'!$A$46:$F$120,2,0),""))&amp;""</f>
        <v/>
      </c>
      <c r="D314" s="216" t="str">
        <f>IFERROR(VLOOKUP($B314,'Institution Evaluation'!$A$55:$F$346,3,0),IFERROR(VLOOKUP($B314,'Privacy Analyst Evaluation'!$A$46:$F$120,3,0),""))&amp;""</f>
        <v/>
      </c>
      <c r="E314" s="216" t="str">
        <f>IFERROR(VLOOKUP($B314,'Institution Evaluation'!$A$55:$F$346,4,0),IFERROR(VLOOKUP($B314,'Privacy Analyst Evaluation'!$A$46:$F$120,4,0),""))&amp;""</f>
        <v/>
      </c>
      <c r="F314" s="216" t="str">
        <f>IFERROR(VLOOKUP($B314,'Institution Evaluation'!$A$55:$F$346,6,0),IFERROR(VLOOKUP($B314,'Privacy Analyst Evaluation'!$A$46:$F$120,6,0),""))&amp;""</f>
        <v/>
      </c>
      <c r="G314" s="217"/>
      <c r="H314" s="216" t="str">
        <f>IFERROR(IF($H313+1&gt;'(backend scoring)'!$Q$335,"",$H313+1),"")</f>
        <v/>
      </c>
      <c r="I314" s="216" t="str">
        <f>_xlfn.XLOOKUP($H314,'(backend scoring)'!$S$2:$S$333,'(backend scoring)'!$A$2:$A$333,"")</f>
        <v/>
      </c>
      <c r="J314" s="216" t="str">
        <f>IFERROR(VLOOKUP($I314,'Institution Evaluation'!$A$55:$F$346,2,0),IFERROR(VLOOKUP($I314,'Privacy Analyst Evaluation'!$A$46:$F$120,2,0),""))</f>
        <v/>
      </c>
      <c r="K314" s="216" t="str">
        <f>IFERROR(VLOOKUP($I314,'Institution Evaluation'!$A$55:$F$346,3,0),IFERROR(VLOOKUP($I314,'Privacy Analyst Evaluation'!$A$46:$F$120,3,0),""))&amp;""</f>
        <v/>
      </c>
      <c r="L314" s="216" t="str">
        <f>IFERROR(VLOOKUP($I314,'Institution Evaluation'!$A$55:$F$346,4,0),IFERROR(VLOOKUP($I314,'Privacy Analyst Evaluation'!$A$46:$F$120,4,0),""))&amp;""</f>
        <v/>
      </c>
      <c r="M314" s="216" t="str">
        <f>IFERROR(VLOOKUP($I314,'Institution Evaluation'!$A$55:$F$346,6,0),IFERROR(VLOOKUP($I314,'Privacy Analyst Evaluation'!$A$46:$F$120,6,0),""))&amp;""</f>
        <v/>
      </c>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row>
    <row r="315" spans="1:338" x14ac:dyDescent="0.3">
      <c r="A315" s="216" t="str">
        <f>IFERROR(IF($A314+1&gt;'(backend scoring)'!$T$335,"",$A314+1),"")</f>
        <v/>
      </c>
      <c r="B315" s="216" t="str">
        <f>_xlfn.XLOOKUP($A315,'(backend scoring)'!$V$2:$V$333,'(backend scoring)'!$A$2:$A$333,"")</f>
        <v/>
      </c>
      <c r="C315" s="216" t="str">
        <f>IFERROR(VLOOKUP($B315,'Institution Evaluation'!$A$55:$F$346,2,0),IFERROR(VLOOKUP($B315,'Privacy Analyst Evaluation'!$A$46:$F$120,2,0),""))&amp;""</f>
        <v/>
      </c>
      <c r="D315" s="216" t="str">
        <f>IFERROR(VLOOKUP($B315,'Institution Evaluation'!$A$55:$F$346,3,0),IFERROR(VLOOKUP($B315,'Privacy Analyst Evaluation'!$A$46:$F$120,3,0),""))&amp;""</f>
        <v/>
      </c>
      <c r="E315" s="216" t="str">
        <f>IFERROR(VLOOKUP($B315,'Institution Evaluation'!$A$55:$F$346,4,0),IFERROR(VLOOKUP($B315,'Privacy Analyst Evaluation'!$A$46:$F$120,4,0),""))&amp;""</f>
        <v/>
      </c>
      <c r="F315" s="216" t="str">
        <f>IFERROR(VLOOKUP($B315,'Institution Evaluation'!$A$55:$F$346,6,0),IFERROR(VLOOKUP($B315,'Privacy Analyst Evaluation'!$A$46:$F$120,6,0),""))&amp;""</f>
        <v/>
      </c>
      <c r="G315" s="217"/>
      <c r="H315" s="216" t="str">
        <f>IFERROR(IF($H314+1&gt;'(backend scoring)'!$Q$335,"",$H314+1),"")</f>
        <v/>
      </c>
      <c r="I315" s="216" t="str">
        <f>_xlfn.XLOOKUP($H315,'(backend scoring)'!$S$2:$S$333,'(backend scoring)'!$A$2:$A$333,"")</f>
        <v/>
      </c>
      <c r="J315" s="216" t="str">
        <f>IFERROR(VLOOKUP($I315,'Institution Evaluation'!$A$55:$F$346,2,0),IFERROR(VLOOKUP($I315,'Privacy Analyst Evaluation'!$A$46:$F$120,2,0),""))</f>
        <v/>
      </c>
      <c r="K315" s="216" t="str">
        <f>IFERROR(VLOOKUP($I315,'Institution Evaluation'!$A$55:$F$346,3,0),IFERROR(VLOOKUP($I315,'Privacy Analyst Evaluation'!$A$46:$F$120,3,0),""))&amp;""</f>
        <v/>
      </c>
      <c r="L315" s="216" t="str">
        <f>IFERROR(VLOOKUP($I315,'Institution Evaluation'!$A$55:$F$346,4,0),IFERROR(VLOOKUP($I315,'Privacy Analyst Evaluation'!$A$46:$F$120,4,0),""))&amp;""</f>
        <v/>
      </c>
      <c r="M315" s="216" t="str">
        <f>IFERROR(VLOOKUP($I315,'Institution Evaluation'!$A$55:$F$346,6,0),IFERROR(VLOOKUP($I315,'Privacy Analyst Evaluation'!$A$46:$F$120,6,0),""))&amp;""</f>
        <v/>
      </c>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row>
    <row r="316" spans="1:338" x14ac:dyDescent="0.3">
      <c r="A316" s="216" t="str">
        <f>IFERROR(IF($A315+1&gt;'(backend scoring)'!$T$335,"",$A315+1),"")</f>
        <v/>
      </c>
      <c r="B316" s="216" t="str">
        <f>_xlfn.XLOOKUP($A316,'(backend scoring)'!$V$2:$V$333,'(backend scoring)'!$A$2:$A$333,"")</f>
        <v/>
      </c>
      <c r="C316" s="216" t="str">
        <f>IFERROR(VLOOKUP($B316,'Institution Evaluation'!$A$55:$F$346,2,0),IFERROR(VLOOKUP($B316,'Privacy Analyst Evaluation'!$A$46:$F$120,2,0),""))&amp;""</f>
        <v/>
      </c>
      <c r="D316" s="216" t="str">
        <f>IFERROR(VLOOKUP($B316,'Institution Evaluation'!$A$55:$F$346,3,0),IFERROR(VLOOKUP($B316,'Privacy Analyst Evaluation'!$A$46:$F$120,3,0),""))&amp;""</f>
        <v/>
      </c>
      <c r="E316" s="216" t="str">
        <f>IFERROR(VLOOKUP($B316,'Institution Evaluation'!$A$55:$F$346,4,0),IFERROR(VLOOKUP($B316,'Privacy Analyst Evaluation'!$A$46:$F$120,4,0),""))&amp;""</f>
        <v/>
      </c>
      <c r="F316" s="216" t="str">
        <f>IFERROR(VLOOKUP($B316,'Institution Evaluation'!$A$55:$F$346,6,0),IFERROR(VLOOKUP($B316,'Privacy Analyst Evaluation'!$A$46:$F$120,6,0),""))&amp;""</f>
        <v/>
      </c>
      <c r="G316" s="217"/>
      <c r="H316" s="216" t="str">
        <f>IFERROR(IF($H315+1&gt;'(backend scoring)'!$Q$335,"",$H315+1),"")</f>
        <v/>
      </c>
      <c r="I316" s="216" t="str">
        <f>_xlfn.XLOOKUP($H316,'(backend scoring)'!$S$2:$S$333,'(backend scoring)'!$A$2:$A$333,"")</f>
        <v/>
      </c>
      <c r="J316" s="216" t="str">
        <f>IFERROR(VLOOKUP($I316,'Institution Evaluation'!$A$55:$F$346,2,0),IFERROR(VLOOKUP($I316,'Privacy Analyst Evaluation'!$A$46:$F$120,2,0),""))</f>
        <v/>
      </c>
      <c r="K316" s="216" t="str">
        <f>IFERROR(VLOOKUP($I316,'Institution Evaluation'!$A$55:$F$346,3,0),IFERROR(VLOOKUP($I316,'Privacy Analyst Evaluation'!$A$46:$F$120,3,0),""))&amp;""</f>
        <v/>
      </c>
      <c r="L316" s="216" t="str">
        <f>IFERROR(VLOOKUP($I316,'Institution Evaluation'!$A$55:$F$346,4,0),IFERROR(VLOOKUP($I316,'Privacy Analyst Evaluation'!$A$46:$F$120,4,0),""))&amp;""</f>
        <v/>
      </c>
      <c r="M316" s="216" t="str">
        <f>IFERROR(VLOOKUP($I316,'Institution Evaluation'!$A$55:$F$346,6,0),IFERROR(VLOOKUP($I316,'Privacy Analyst Evaluation'!$A$46:$F$120,6,0),""))&amp;""</f>
        <v/>
      </c>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row>
    <row r="317" spans="1:338" x14ac:dyDescent="0.3">
      <c r="A317" s="216" t="str">
        <f>IFERROR(IF($A316+1&gt;'(backend scoring)'!$T$335,"",$A316+1),"")</f>
        <v/>
      </c>
      <c r="B317" s="216" t="str">
        <f>_xlfn.XLOOKUP($A317,'(backend scoring)'!$V$2:$V$333,'(backend scoring)'!$A$2:$A$333,"")</f>
        <v/>
      </c>
      <c r="C317" s="216" t="str">
        <f>IFERROR(VLOOKUP($B317,'Institution Evaluation'!$A$55:$F$346,2,0),IFERROR(VLOOKUP($B317,'Privacy Analyst Evaluation'!$A$46:$F$120,2,0),""))&amp;""</f>
        <v/>
      </c>
      <c r="D317" s="216" t="str">
        <f>IFERROR(VLOOKUP($B317,'Institution Evaluation'!$A$55:$F$346,3,0),IFERROR(VLOOKUP($B317,'Privacy Analyst Evaluation'!$A$46:$F$120,3,0),""))&amp;""</f>
        <v/>
      </c>
      <c r="E317" s="216" t="str">
        <f>IFERROR(VLOOKUP($B317,'Institution Evaluation'!$A$55:$F$346,4,0),IFERROR(VLOOKUP($B317,'Privacy Analyst Evaluation'!$A$46:$F$120,4,0),""))&amp;""</f>
        <v/>
      </c>
      <c r="F317" s="216" t="str">
        <f>IFERROR(VLOOKUP($B317,'Institution Evaluation'!$A$55:$F$346,6,0),IFERROR(VLOOKUP($B317,'Privacy Analyst Evaluation'!$A$46:$F$120,6,0),""))&amp;""</f>
        <v/>
      </c>
      <c r="G317" s="217"/>
      <c r="H317" s="216" t="str">
        <f>IFERROR(IF($H316+1&gt;'(backend scoring)'!$Q$335,"",$H316+1),"")</f>
        <v/>
      </c>
      <c r="I317" s="216" t="str">
        <f>_xlfn.XLOOKUP($H317,'(backend scoring)'!$S$2:$S$333,'(backend scoring)'!$A$2:$A$333,"")</f>
        <v/>
      </c>
      <c r="J317" s="216" t="str">
        <f>IFERROR(VLOOKUP($I317,'Institution Evaluation'!$A$55:$F$346,2,0),IFERROR(VLOOKUP($I317,'Privacy Analyst Evaluation'!$A$46:$F$120,2,0),""))</f>
        <v/>
      </c>
      <c r="K317" s="216" t="str">
        <f>IFERROR(VLOOKUP($I317,'Institution Evaluation'!$A$55:$F$346,3,0),IFERROR(VLOOKUP($I317,'Privacy Analyst Evaluation'!$A$46:$F$120,3,0),""))&amp;""</f>
        <v/>
      </c>
      <c r="L317" s="216" t="str">
        <f>IFERROR(VLOOKUP($I317,'Institution Evaluation'!$A$55:$F$346,4,0),IFERROR(VLOOKUP($I317,'Privacy Analyst Evaluation'!$A$46:$F$120,4,0),""))&amp;""</f>
        <v/>
      </c>
      <c r="M317" s="216" t="str">
        <f>IFERROR(VLOOKUP($I317,'Institution Evaluation'!$A$55:$F$346,6,0),IFERROR(VLOOKUP($I317,'Privacy Analyst Evaluation'!$A$46:$F$120,6,0),""))&amp;""</f>
        <v/>
      </c>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row>
    <row r="318" spans="1:338" x14ac:dyDescent="0.3">
      <c r="A318" s="216" t="str">
        <f>IFERROR(IF($A317+1&gt;'(backend scoring)'!$T$335,"",$A317+1),"")</f>
        <v/>
      </c>
      <c r="B318" s="216" t="str">
        <f>_xlfn.XLOOKUP($A318,'(backend scoring)'!$V$2:$V$333,'(backend scoring)'!$A$2:$A$333,"")</f>
        <v/>
      </c>
      <c r="C318" s="216" t="str">
        <f>IFERROR(VLOOKUP($B318,'Institution Evaluation'!$A$55:$F$346,2,0),IFERROR(VLOOKUP($B318,'Privacy Analyst Evaluation'!$A$46:$F$120,2,0),""))&amp;""</f>
        <v/>
      </c>
      <c r="D318" s="216" t="str">
        <f>IFERROR(VLOOKUP($B318,'Institution Evaluation'!$A$55:$F$346,3,0),IFERROR(VLOOKUP($B318,'Privacy Analyst Evaluation'!$A$46:$F$120,3,0),""))&amp;""</f>
        <v/>
      </c>
      <c r="E318" s="216" t="str">
        <f>IFERROR(VLOOKUP($B318,'Institution Evaluation'!$A$55:$F$346,4,0),IFERROR(VLOOKUP($B318,'Privacy Analyst Evaluation'!$A$46:$F$120,4,0),""))&amp;""</f>
        <v/>
      </c>
      <c r="F318" s="216" t="str">
        <f>IFERROR(VLOOKUP($B318,'Institution Evaluation'!$A$55:$F$346,6,0),IFERROR(VLOOKUP($B318,'Privacy Analyst Evaluation'!$A$46:$F$120,6,0),""))&amp;""</f>
        <v/>
      </c>
      <c r="G318" s="217"/>
      <c r="H318" s="216" t="str">
        <f>IFERROR(IF($H317+1&gt;'(backend scoring)'!$Q$335,"",$H317+1),"")</f>
        <v/>
      </c>
      <c r="I318" s="216" t="str">
        <f>_xlfn.XLOOKUP($H318,'(backend scoring)'!$S$2:$S$333,'(backend scoring)'!$A$2:$A$333,"")</f>
        <v/>
      </c>
      <c r="J318" s="216" t="str">
        <f>IFERROR(VLOOKUP($I318,'Institution Evaluation'!$A$55:$F$346,2,0),IFERROR(VLOOKUP($I318,'Privacy Analyst Evaluation'!$A$46:$F$120,2,0),""))</f>
        <v/>
      </c>
      <c r="K318" s="216" t="str">
        <f>IFERROR(VLOOKUP($I318,'Institution Evaluation'!$A$55:$F$346,3,0),IFERROR(VLOOKUP($I318,'Privacy Analyst Evaluation'!$A$46:$F$120,3,0),""))&amp;""</f>
        <v/>
      </c>
      <c r="L318" s="216" t="str">
        <f>IFERROR(VLOOKUP($I318,'Institution Evaluation'!$A$55:$F$346,4,0),IFERROR(VLOOKUP($I318,'Privacy Analyst Evaluation'!$A$46:$F$120,4,0),""))&amp;""</f>
        <v/>
      </c>
      <c r="M318" s="216" t="str">
        <f>IFERROR(VLOOKUP($I318,'Institution Evaluation'!$A$55:$F$346,6,0),IFERROR(VLOOKUP($I318,'Privacy Analyst Evaluation'!$A$46:$F$120,6,0),""))&amp;""</f>
        <v/>
      </c>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row>
    <row r="319" spans="1:338" x14ac:dyDescent="0.3">
      <c r="A319" s="216" t="str">
        <f>IFERROR(IF($A318+1&gt;'(backend scoring)'!$T$335,"",$A318+1),"")</f>
        <v/>
      </c>
      <c r="B319" s="216" t="str">
        <f>_xlfn.XLOOKUP($A319,'(backend scoring)'!$V$2:$V$333,'(backend scoring)'!$A$2:$A$333,"")</f>
        <v/>
      </c>
      <c r="C319" s="216" t="str">
        <f>IFERROR(VLOOKUP($B319,'Institution Evaluation'!$A$55:$F$346,2,0),IFERROR(VLOOKUP($B319,'Privacy Analyst Evaluation'!$A$46:$F$120,2,0),""))&amp;""</f>
        <v/>
      </c>
      <c r="D319" s="216" t="str">
        <f>IFERROR(VLOOKUP($B319,'Institution Evaluation'!$A$55:$F$346,3,0),IFERROR(VLOOKUP($B319,'Privacy Analyst Evaluation'!$A$46:$F$120,3,0),""))&amp;""</f>
        <v/>
      </c>
      <c r="E319" s="216" t="str">
        <f>IFERROR(VLOOKUP($B319,'Institution Evaluation'!$A$55:$F$346,4,0),IFERROR(VLOOKUP($B319,'Privacy Analyst Evaluation'!$A$46:$F$120,4,0),""))&amp;""</f>
        <v/>
      </c>
      <c r="F319" s="216" t="str">
        <f>IFERROR(VLOOKUP($B319,'Institution Evaluation'!$A$55:$F$346,6,0),IFERROR(VLOOKUP($B319,'Privacy Analyst Evaluation'!$A$46:$F$120,6,0),""))&amp;""</f>
        <v/>
      </c>
      <c r="G319" s="217"/>
      <c r="H319" s="216" t="str">
        <f>IFERROR(IF($H318+1&gt;'(backend scoring)'!$Q$335,"",$H318+1),"")</f>
        <v/>
      </c>
      <c r="I319" s="216" t="str">
        <f>_xlfn.XLOOKUP($H319,'(backend scoring)'!$S$2:$S$333,'(backend scoring)'!$A$2:$A$333,"")</f>
        <v/>
      </c>
      <c r="J319" s="216" t="str">
        <f>IFERROR(VLOOKUP($I319,'Institution Evaluation'!$A$55:$F$346,2,0),IFERROR(VLOOKUP($I319,'Privacy Analyst Evaluation'!$A$46:$F$120,2,0),""))</f>
        <v/>
      </c>
      <c r="K319" s="216" t="str">
        <f>IFERROR(VLOOKUP($I319,'Institution Evaluation'!$A$55:$F$346,3,0),IFERROR(VLOOKUP($I319,'Privacy Analyst Evaluation'!$A$46:$F$120,3,0),""))&amp;""</f>
        <v/>
      </c>
      <c r="L319" s="216" t="str">
        <f>IFERROR(VLOOKUP($I319,'Institution Evaluation'!$A$55:$F$346,4,0),IFERROR(VLOOKUP($I319,'Privacy Analyst Evaluation'!$A$46:$F$120,4,0),""))&amp;""</f>
        <v/>
      </c>
      <c r="M319" s="216" t="str">
        <f>IFERROR(VLOOKUP($I319,'Institution Evaluation'!$A$55:$F$346,6,0),IFERROR(VLOOKUP($I319,'Privacy Analyst Evaluation'!$A$46:$F$120,6,0),""))&amp;""</f>
        <v/>
      </c>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row>
    <row r="320" spans="1:338" x14ac:dyDescent="0.3">
      <c r="A320" s="216" t="str">
        <f>IFERROR(IF($A319+1&gt;'(backend scoring)'!$T$335,"",$A319+1),"")</f>
        <v/>
      </c>
      <c r="B320" s="216" t="str">
        <f>_xlfn.XLOOKUP($A320,'(backend scoring)'!$V$2:$V$333,'(backend scoring)'!$A$2:$A$333,"")</f>
        <v/>
      </c>
      <c r="C320" s="216" t="str">
        <f>IFERROR(VLOOKUP($B320,'Institution Evaluation'!$A$55:$F$346,2,0),IFERROR(VLOOKUP($B320,'Privacy Analyst Evaluation'!$A$46:$F$120,2,0),""))&amp;""</f>
        <v/>
      </c>
      <c r="D320" s="216" t="str">
        <f>IFERROR(VLOOKUP($B320,'Institution Evaluation'!$A$55:$F$346,3,0),IFERROR(VLOOKUP($B320,'Privacy Analyst Evaluation'!$A$46:$F$120,3,0),""))&amp;""</f>
        <v/>
      </c>
      <c r="E320" s="216" t="str">
        <f>IFERROR(VLOOKUP($B320,'Institution Evaluation'!$A$55:$F$346,4,0),IFERROR(VLOOKUP($B320,'Privacy Analyst Evaluation'!$A$46:$F$120,4,0),""))&amp;""</f>
        <v/>
      </c>
      <c r="F320" s="216" t="str">
        <f>IFERROR(VLOOKUP($B320,'Institution Evaluation'!$A$55:$F$346,6,0),IFERROR(VLOOKUP($B320,'Privacy Analyst Evaluation'!$A$46:$F$120,6,0),""))&amp;""</f>
        <v/>
      </c>
      <c r="G320" s="217"/>
      <c r="H320" s="216" t="str">
        <f>IFERROR(IF($H319+1&gt;'(backend scoring)'!$Q$335,"",$H319+1),"")</f>
        <v/>
      </c>
      <c r="I320" s="216" t="str">
        <f>_xlfn.XLOOKUP($H320,'(backend scoring)'!$S$2:$S$333,'(backend scoring)'!$A$2:$A$333,"")</f>
        <v/>
      </c>
      <c r="J320" s="216" t="str">
        <f>IFERROR(VLOOKUP($I320,'Institution Evaluation'!$A$55:$F$346,2,0),IFERROR(VLOOKUP($I320,'Privacy Analyst Evaluation'!$A$46:$F$120,2,0),""))</f>
        <v/>
      </c>
      <c r="K320" s="216" t="str">
        <f>IFERROR(VLOOKUP($I320,'Institution Evaluation'!$A$55:$F$346,3,0),IFERROR(VLOOKUP($I320,'Privacy Analyst Evaluation'!$A$46:$F$120,3,0),""))&amp;""</f>
        <v/>
      </c>
      <c r="L320" s="216" t="str">
        <f>IFERROR(VLOOKUP($I320,'Institution Evaluation'!$A$55:$F$346,4,0),IFERROR(VLOOKUP($I320,'Privacy Analyst Evaluation'!$A$46:$F$120,4,0),""))&amp;""</f>
        <v/>
      </c>
      <c r="M320" s="216" t="str">
        <f>IFERROR(VLOOKUP($I320,'Institution Evaluation'!$A$55:$F$346,6,0),IFERROR(VLOOKUP($I320,'Privacy Analyst Evaluation'!$A$46:$F$120,6,0),""))&amp;""</f>
        <v/>
      </c>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row>
    <row r="321" spans="1:338" x14ac:dyDescent="0.3">
      <c r="A321" s="216" t="str">
        <f>IFERROR(IF($A320+1&gt;'(backend scoring)'!$T$335,"",$A320+1),"")</f>
        <v/>
      </c>
      <c r="B321" s="216" t="str">
        <f>_xlfn.XLOOKUP($A321,'(backend scoring)'!$V$2:$V$333,'(backend scoring)'!$A$2:$A$333,"")</f>
        <v/>
      </c>
      <c r="C321" s="216" t="str">
        <f>IFERROR(VLOOKUP($B321,'Institution Evaluation'!$A$55:$F$346,2,0),IFERROR(VLOOKUP($B321,'Privacy Analyst Evaluation'!$A$46:$F$120,2,0),""))&amp;""</f>
        <v/>
      </c>
      <c r="D321" s="216" t="str">
        <f>IFERROR(VLOOKUP($B321,'Institution Evaluation'!$A$55:$F$346,3,0),IFERROR(VLOOKUP($B321,'Privacy Analyst Evaluation'!$A$46:$F$120,3,0),""))&amp;""</f>
        <v/>
      </c>
      <c r="E321" s="216" t="str">
        <f>IFERROR(VLOOKUP($B321,'Institution Evaluation'!$A$55:$F$346,4,0),IFERROR(VLOOKUP($B321,'Privacy Analyst Evaluation'!$A$46:$F$120,4,0),""))&amp;""</f>
        <v/>
      </c>
      <c r="F321" s="216" t="str">
        <f>IFERROR(VLOOKUP($B321,'Institution Evaluation'!$A$55:$F$346,6,0),IFERROR(VLOOKUP($B321,'Privacy Analyst Evaluation'!$A$46:$F$120,6,0),""))&amp;""</f>
        <v/>
      </c>
      <c r="G321" s="217"/>
      <c r="H321" s="216" t="str">
        <f>IFERROR(IF($H320+1&gt;'(backend scoring)'!$Q$335,"",$H320+1),"")</f>
        <v/>
      </c>
      <c r="I321" s="216" t="str">
        <f>_xlfn.XLOOKUP($H321,'(backend scoring)'!$S$2:$S$333,'(backend scoring)'!$A$2:$A$333,"")</f>
        <v/>
      </c>
      <c r="J321" s="216" t="str">
        <f>IFERROR(VLOOKUP($I321,'Institution Evaluation'!$A$55:$F$346,2,0),IFERROR(VLOOKUP($I321,'Privacy Analyst Evaluation'!$A$46:$F$120,2,0),""))</f>
        <v/>
      </c>
      <c r="K321" s="216" t="str">
        <f>IFERROR(VLOOKUP($I321,'Institution Evaluation'!$A$55:$F$346,3,0),IFERROR(VLOOKUP($I321,'Privacy Analyst Evaluation'!$A$46:$F$120,3,0),""))&amp;""</f>
        <v/>
      </c>
      <c r="L321" s="216" t="str">
        <f>IFERROR(VLOOKUP($I321,'Institution Evaluation'!$A$55:$F$346,4,0),IFERROR(VLOOKUP($I321,'Privacy Analyst Evaluation'!$A$46:$F$120,4,0),""))&amp;""</f>
        <v/>
      </c>
      <c r="M321" s="216" t="str">
        <f>IFERROR(VLOOKUP($I321,'Institution Evaluation'!$A$55:$F$346,6,0),IFERROR(VLOOKUP($I321,'Privacy Analyst Evaluation'!$A$46:$F$120,6,0),""))&amp;""</f>
        <v/>
      </c>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row>
    <row r="322" spans="1:338" x14ac:dyDescent="0.3">
      <c r="A322" s="216" t="str">
        <f>IFERROR(IF($A321+1&gt;'(backend scoring)'!$T$335,"",$A321+1),"")</f>
        <v/>
      </c>
      <c r="B322" s="216" t="str">
        <f>_xlfn.XLOOKUP($A322,'(backend scoring)'!$V$2:$V$333,'(backend scoring)'!$A$2:$A$333,"")</f>
        <v/>
      </c>
      <c r="C322" s="216" t="str">
        <f>IFERROR(VLOOKUP($B322,'Institution Evaluation'!$A$55:$F$346,2,0),IFERROR(VLOOKUP($B322,'Privacy Analyst Evaluation'!$A$46:$F$120,2,0),""))&amp;""</f>
        <v/>
      </c>
      <c r="D322" s="216" t="str">
        <f>IFERROR(VLOOKUP($B322,'Institution Evaluation'!$A$55:$F$346,3,0),IFERROR(VLOOKUP($B322,'Privacy Analyst Evaluation'!$A$46:$F$120,3,0),""))&amp;""</f>
        <v/>
      </c>
      <c r="E322" s="216" t="str">
        <f>IFERROR(VLOOKUP($B322,'Institution Evaluation'!$A$55:$F$346,4,0),IFERROR(VLOOKUP($B322,'Privacy Analyst Evaluation'!$A$46:$F$120,4,0),""))&amp;""</f>
        <v/>
      </c>
      <c r="F322" s="216" t="str">
        <f>IFERROR(VLOOKUP($B322,'Institution Evaluation'!$A$55:$F$346,6,0),IFERROR(VLOOKUP($B322,'Privacy Analyst Evaluation'!$A$46:$F$120,6,0),""))&amp;""</f>
        <v/>
      </c>
      <c r="G322" s="217"/>
      <c r="H322" s="216" t="str">
        <f>IFERROR(IF($H321+1&gt;'(backend scoring)'!$Q$335,"",$H321+1),"")</f>
        <v/>
      </c>
      <c r="I322" s="216" t="str">
        <f>_xlfn.XLOOKUP($H322,'(backend scoring)'!$S$2:$S$333,'(backend scoring)'!$A$2:$A$333,"")</f>
        <v/>
      </c>
      <c r="J322" s="216" t="str">
        <f>IFERROR(VLOOKUP($I322,'Institution Evaluation'!$A$55:$F$346,2,0),IFERROR(VLOOKUP($I322,'Privacy Analyst Evaluation'!$A$46:$F$120,2,0),""))</f>
        <v/>
      </c>
      <c r="K322" s="216" t="str">
        <f>IFERROR(VLOOKUP($I322,'Institution Evaluation'!$A$55:$F$346,3,0),IFERROR(VLOOKUP($I322,'Privacy Analyst Evaluation'!$A$46:$F$120,3,0),""))&amp;""</f>
        <v/>
      </c>
      <c r="L322" s="216" t="str">
        <f>IFERROR(VLOOKUP($I322,'Institution Evaluation'!$A$55:$F$346,4,0),IFERROR(VLOOKUP($I322,'Privacy Analyst Evaluation'!$A$46:$F$120,4,0),""))&amp;""</f>
        <v/>
      </c>
      <c r="M322" s="216" t="str">
        <f>IFERROR(VLOOKUP($I322,'Institution Evaluation'!$A$55:$F$346,6,0),IFERROR(VLOOKUP($I322,'Privacy Analyst Evaluation'!$A$46:$F$120,6,0),""))&amp;""</f>
        <v/>
      </c>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row>
    <row r="323" spans="1:338" x14ac:dyDescent="0.3">
      <c r="A323" s="216" t="str">
        <f>IFERROR(IF($A322+1&gt;'(backend scoring)'!$T$335,"",$A322+1),"")</f>
        <v/>
      </c>
      <c r="B323" s="216" t="str">
        <f>_xlfn.XLOOKUP($A323,'(backend scoring)'!$V$2:$V$333,'(backend scoring)'!$A$2:$A$333,"")</f>
        <v/>
      </c>
      <c r="C323" s="216" t="str">
        <f>IFERROR(VLOOKUP($B323,'Institution Evaluation'!$A$55:$F$346,2,0),IFERROR(VLOOKUP($B323,'Privacy Analyst Evaluation'!$A$46:$F$120,2,0),""))&amp;""</f>
        <v/>
      </c>
      <c r="D323" s="216" t="str">
        <f>IFERROR(VLOOKUP($B323,'Institution Evaluation'!$A$55:$F$346,3,0),IFERROR(VLOOKUP($B323,'Privacy Analyst Evaluation'!$A$46:$F$120,3,0),""))&amp;""</f>
        <v/>
      </c>
      <c r="E323" s="216" t="str">
        <f>IFERROR(VLOOKUP($B323,'Institution Evaluation'!$A$55:$F$346,4,0),IFERROR(VLOOKUP($B323,'Privacy Analyst Evaluation'!$A$46:$F$120,4,0),""))&amp;""</f>
        <v/>
      </c>
      <c r="F323" s="216" t="str">
        <f>IFERROR(VLOOKUP($B323,'Institution Evaluation'!$A$55:$F$346,6,0),IFERROR(VLOOKUP($B323,'Privacy Analyst Evaluation'!$A$46:$F$120,6,0),""))&amp;""</f>
        <v/>
      </c>
      <c r="G323" s="217"/>
      <c r="H323" s="216" t="str">
        <f>IFERROR(IF($H322+1&gt;'(backend scoring)'!$Q$335,"",$H322+1),"")</f>
        <v/>
      </c>
      <c r="I323" s="216" t="str">
        <f>_xlfn.XLOOKUP($H323,'(backend scoring)'!$S$2:$S$333,'(backend scoring)'!$A$2:$A$333,"")</f>
        <v/>
      </c>
      <c r="J323" s="216" t="str">
        <f>IFERROR(VLOOKUP($I323,'Institution Evaluation'!$A$55:$F$346,2,0),IFERROR(VLOOKUP($I323,'Privacy Analyst Evaluation'!$A$46:$F$120,2,0),""))</f>
        <v/>
      </c>
      <c r="K323" s="216" t="str">
        <f>IFERROR(VLOOKUP($I323,'Institution Evaluation'!$A$55:$F$346,3,0),IFERROR(VLOOKUP($I323,'Privacy Analyst Evaluation'!$A$46:$F$120,3,0),""))&amp;""</f>
        <v/>
      </c>
      <c r="L323" s="216" t="str">
        <f>IFERROR(VLOOKUP($I323,'Institution Evaluation'!$A$55:$F$346,4,0),IFERROR(VLOOKUP($I323,'Privacy Analyst Evaluation'!$A$46:$F$120,4,0),""))&amp;""</f>
        <v/>
      </c>
      <c r="M323" s="216" t="str">
        <f>IFERROR(VLOOKUP($I323,'Institution Evaluation'!$A$55:$F$346,6,0),IFERROR(VLOOKUP($I323,'Privacy Analyst Evaluation'!$A$46:$F$120,6,0),""))&amp;""</f>
        <v/>
      </c>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row>
    <row r="324" spans="1:338" x14ac:dyDescent="0.3">
      <c r="A324" s="216" t="str">
        <f>IFERROR(IF($A323+1&gt;'(backend scoring)'!$T$335,"",$A323+1),"")</f>
        <v/>
      </c>
      <c r="B324" s="216" t="str">
        <f>_xlfn.XLOOKUP($A324,'(backend scoring)'!$V$2:$V$333,'(backend scoring)'!$A$2:$A$333,"")</f>
        <v/>
      </c>
      <c r="C324" s="216" t="str">
        <f>IFERROR(VLOOKUP($B324,'Institution Evaluation'!$A$55:$F$346,2,0),IFERROR(VLOOKUP($B324,'Privacy Analyst Evaluation'!$A$46:$F$120,2,0),""))&amp;""</f>
        <v/>
      </c>
      <c r="D324" s="216" t="str">
        <f>IFERROR(VLOOKUP($B324,'Institution Evaluation'!$A$55:$F$346,3,0),IFERROR(VLOOKUP($B324,'Privacy Analyst Evaluation'!$A$46:$F$120,3,0),""))&amp;""</f>
        <v/>
      </c>
      <c r="E324" s="216" t="str">
        <f>IFERROR(VLOOKUP($B324,'Institution Evaluation'!$A$55:$F$346,4,0),IFERROR(VLOOKUP($B324,'Privacy Analyst Evaluation'!$A$46:$F$120,4,0),""))&amp;""</f>
        <v/>
      </c>
      <c r="F324" s="216" t="str">
        <f>IFERROR(VLOOKUP($B324,'Institution Evaluation'!$A$55:$F$346,6,0),IFERROR(VLOOKUP($B324,'Privacy Analyst Evaluation'!$A$46:$F$120,6,0),""))&amp;""</f>
        <v/>
      </c>
      <c r="G324" s="217"/>
      <c r="H324" s="216" t="str">
        <f>IFERROR(IF($H323+1&gt;'(backend scoring)'!$Q$335,"",$H323+1),"")</f>
        <v/>
      </c>
      <c r="I324" s="216" t="str">
        <f>_xlfn.XLOOKUP($H324,'(backend scoring)'!$S$2:$S$333,'(backend scoring)'!$A$2:$A$333,"")</f>
        <v/>
      </c>
      <c r="J324" s="216" t="str">
        <f>IFERROR(VLOOKUP($I324,'Institution Evaluation'!$A$55:$F$346,2,0),IFERROR(VLOOKUP($I324,'Privacy Analyst Evaluation'!$A$46:$F$120,2,0),""))</f>
        <v/>
      </c>
      <c r="K324" s="216" t="str">
        <f>IFERROR(VLOOKUP($I324,'Institution Evaluation'!$A$55:$F$346,3,0),IFERROR(VLOOKUP($I324,'Privacy Analyst Evaluation'!$A$46:$F$120,3,0),""))&amp;""</f>
        <v/>
      </c>
      <c r="L324" s="216" t="str">
        <f>IFERROR(VLOOKUP($I324,'Institution Evaluation'!$A$55:$F$346,4,0),IFERROR(VLOOKUP($I324,'Privacy Analyst Evaluation'!$A$46:$F$120,4,0),""))&amp;""</f>
        <v/>
      </c>
      <c r="M324" s="216" t="str">
        <f>IFERROR(VLOOKUP($I324,'Institution Evaluation'!$A$55:$F$346,6,0),IFERROR(VLOOKUP($I324,'Privacy Analyst Evaluation'!$A$46:$F$120,6,0),""))&amp;""</f>
        <v/>
      </c>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row>
    <row r="325" spans="1:338" x14ac:dyDescent="0.3">
      <c r="A325" s="216" t="str">
        <f>IFERROR(IF($A324+1&gt;'(backend scoring)'!$T$335,"",$A324+1),"")</f>
        <v/>
      </c>
      <c r="B325" s="216" t="str">
        <f>_xlfn.XLOOKUP($A325,'(backend scoring)'!$V$2:$V$333,'(backend scoring)'!$A$2:$A$333,"")</f>
        <v/>
      </c>
      <c r="C325" s="216" t="str">
        <f>IFERROR(VLOOKUP($B325,'Institution Evaluation'!$A$55:$F$346,2,0),IFERROR(VLOOKUP($B325,'Privacy Analyst Evaluation'!$A$46:$F$120,2,0),""))&amp;""</f>
        <v/>
      </c>
      <c r="D325" s="216" t="str">
        <f>IFERROR(VLOOKUP($B325,'Institution Evaluation'!$A$55:$F$346,3,0),IFERROR(VLOOKUP($B325,'Privacy Analyst Evaluation'!$A$46:$F$120,3,0),""))&amp;""</f>
        <v/>
      </c>
      <c r="E325" s="216" t="str">
        <f>IFERROR(VLOOKUP($B325,'Institution Evaluation'!$A$55:$F$346,4,0),IFERROR(VLOOKUP($B325,'Privacy Analyst Evaluation'!$A$46:$F$120,4,0),""))&amp;""</f>
        <v/>
      </c>
      <c r="F325" s="216" t="str">
        <f>IFERROR(VLOOKUP($B325,'Institution Evaluation'!$A$55:$F$346,6,0),IFERROR(VLOOKUP($B325,'Privacy Analyst Evaluation'!$A$46:$F$120,6,0),""))&amp;""</f>
        <v/>
      </c>
      <c r="G325" s="217"/>
      <c r="H325" s="216" t="str">
        <f>IFERROR(IF($H324+1&gt;'(backend scoring)'!$Q$335,"",$H324+1),"")</f>
        <v/>
      </c>
      <c r="I325" s="216" t="str">
        <f>_xlfn.XLOOKUP($H325,'(backend scoring)'!$S$2:$S$333,'(backend scoring)'!$A$2:$A$333,"")</f>
        <v/>
      </c>
      <c r="J325" s="216" t="str">
        <f>IFERROR(VLOOKUP($I325,'Institution Evaluation'!$A$55:$F$346,2,0),IFERROR(VLOOKUP($I325,'Privacy Analyst Evaluation'!$A$46:$F$120,2,0),""))</f>
        <v/>
      </c>
      <c r="K325" s="216" t="str">
        <f>IFERROR(VLOOKUP($I325,'Institution Evaluation'!$A$55:$F$346,3,0),IFERROR(VLOOKUP($I325,'Privacy Analyst Evaluation'!$A$46:$F$120,3,0),""))&amp;""</f>
        <v/>
      </c>
      <c r="L325" s="216" t="str">
        <f>IFERROR(VLOOKUP($I325,'Institution Evaluation'!$A$55:$F$346,4,0),IFERROR(VLOOKUP($I325,'Privacy Analyst Evaluation'!$A$46:$F$120,4,0),""))&amp;""</f>
        <v/>
      </c>
      <c r="M325" s="216" t="str">
        <f>IFERROR(VLOOKUP($I325,'Institution Evaluation'!$A$55:$F$346,6,0),IFERROR(VLOOKUP($I325,'Privacy Analyst Evaluation'!$A$46:$F$120,6,0),""))&amp;""</f>
        <v/>
      </c>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row>
    <row r="326" spans="1:338" x14ac:dyDescent="0.3">
      <c r="A326" s="216" t="str">
        <f>IFERROR(IF($A325+1&gt;'(backend scoring)'!$T$335,"",$A325+1),"")</f>
        <v/>
      </c>
      <c r="B326" s="216" t="str">
        <f>_xlfn.XLOOKUP($A326,'(backend scoring)'!$V$2:$V$333,'(backend scoring)'!$A$2:$A$333,"")</f>
        <v/>
      </c>
      <c r="C326" s="216" t="str">
        <f>IFERROR(VLOOKUP($B326,'Institution Evaluation'!$A$55:$F$346,2,0),IFERROR(VLOOKUP($B326,'Privacy Analyst Evaluation'!$A$46:$F$120,2,0),""))&amp;""</f>
        <v/>
      </c>
      <c r="D326" s="216" t="str">
        <f>IFERROR(VLOOKUP($B326,'Institution Evaluation'!$A$55:$F$346,3,0),IFERROR(VLOOKUP($B326,'Privacy Analyst Evaluation'!$A$46:$F$120,3,0),""))&amp;""</f>
        <v/>
      </c>
      <c r="E326" s="216" t="str">
        <f>IFERROR(VLOOKUP($B326,'Institution Evaluation'!$A$55:$F$346,4,0),IFERROR(VLOOKUP($B326,'Privacy Analyst Evaluation'!$A$46:$F$120,4,0),""))&amp;""</f>
        <v/>
      </c>
      <c r="F326" s="216" t="str">
        <f>IFERROR(VLOOKUP($B326,'Institution Evaluation'!$A$55:$F$346,6,0),IFERROR(VLOOKUP($B326,'Privacy Analyst Evaluation'!$A$46:$F$120,6,0),""))&amp;""</f>
        <v/>
      </c>
      <c r="G326" s="217"/>
      <c r="H326" s="216" t="str">
        <f>IFERROR(IF($H325+1&gt;'(backend scoring)'!$Q$335,"",$H325+1),"")</f>
        <v/>
      </c>
      <c r="I326" s="216" t="str">
        <f>_xlfn.XLOOKUP($H326,'(backend scoring)'!$S$2:$S$333,'(backend scoring)'!$A$2:$A$333,"")</f>
        <v/>
      </c>
      <c r="J326" s="216" t="str">
        <f>IFERROR(VLOOKUP($I326,'Institution Evaluation'!$A$55:$F$346,2,0),IFERROR(VLOOKUP($I326,'Privacy Analyst Evaluation'!$A$46:$F$120,2,0),""))</f>
        <v/>
      </c>
      <c r="K326" s="216" t="str">
        <f>IFERROR(VLOOKUP($I326,'Institution Evaluation'!$A$55:$F$346,3,0),IFERROR(VLOOKUP($I326,'Privacy Analyst Evaluation'!$A$46:$F$120,3,0),""))&amp;""</f>
        <v/>
      </c>
      <c r="L326" s="216" t="str">
        <f>IFERROR(VLOOKUP($I326,'Institution Evaluation'!$A$55:$F$346,4,0),IFERROR(VLOOKUP($I326,'Privacy Analyst Evaluation'!$A$46:$F$120,4,0),""))&amp;""</f>
        <v/>
      </c>
      <c r="M326" s="216" t="str">
        <f>IFERROR(VLOOKUP($I326,'Institution Evaluation'!$A$55:$F$346,6,0),IFERROR(VLOOKUP($I326,'Privacy Analyst Evaluation'!$A$46:$F$120,6,0),""))&amp;""</f>
        <v/>
      </c>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row>
    <row r="327" spans="1:338" x14ac:dyDescent="0.3">
      <c r="A327" s="216" t="str">
        <f>IFERROR(IF($A326+1&gt;'(backend scoring)'!$T$335,"",$A326+1),"")</f>
        <v/>
      </c>
      <c r="B327" s="216" t="str">
        <f>_xlfn.XLOOKUP($A327,'(backend scoring)'!$V$2:$V$333,'(backend scoring)'!$A$2:$A$333,"")</f>
        <v/>
      </c>
      <c r="C327" s="216" t="str">
        <f>IFERROR(VLOOKUP($B327,'Institution Evaluation'!$A$55:$F$346,2,0),IFERROR(VLOOKUP($B327,'Privacy Analyst Evaluation'!$A$46:$F$120,2,0),""))&amp;""</f>
        <v/>
      </c>
      <c r="D327" s="216" t="str">
        <f>IFERROR(VLOOKUP($B327,'Institution Evaluation'!$A$55:$F$346,3,0),IFERROR(VLOOKUP($B327,'Privacy Analyst Evaluation'!$A$46:$F$120,3,0),""))&amp;""</f>
        <v/>
      </c>
      <c r="E327" s="216" t="str">
        <f>IFERROR(VLOOKUP($B327,'Institution Evaluation'!$A$55:$F$346,4,0),IFERROR(VLOOKUP($B327,'Privacy Analyst Evaluation'!$A$46:$F$120,4,0),""))&amp;""</f>
        <v/>
      </c>
      <c r="F327" s="216" t="str">
        <f>IFERROR(VLOOKUP($B327,'Institution Evaluation'!$A$55:$F$346,6,0),IFERROR(VLOOKUP($B327,'Privacy Analyst Evaluation'!$A$46:$F$120,6,0),""))&amp;""</f>
        <v/>
      </c>
      <c r="G327" s="217"/>
      <c r="H327" s="216" t="str">
        <f>IFERROR(IF($H326+1&gt;'(backend scoring)'!$Q$335,"",$H326+1),"")</f>
        <v/>
      </c>
      <c r="I327" s="216" t="str">
        <f>_xlfn.XLOOKUP($H327,'(backend scoring)'!$S$2:$S$333,'(backend scoring)'!$A$2:$A$333,"")</f>
        <v/>
      </c>
      <c r="J327" s="216" t="str">
        <f>IFERROR(VLOOKUP($I327,'Institution Evaluation'!$A$55:$F$346,2,0),IFERROR(VLOOKUP($I327,'Privacy Analyst Evaluation'!$A$46:$F$120,2,0),""))</f>
        <v/>
      </c>
      <c r="K327" s="216" t="str">
        <f>IFERROR(VLOOKUP($I327,'Institution Evaluation'!$A$55:$F$346,3,0),IFERROR(VLOOKUP($I327,'Privacy Analyst Evaluation'!$A$46:$F$120,3,0),""))&amp;""</f>
        <v/>
      </c>
      <c r="L327" s="216" t="str">
        <f>IFERROR(VLOOKUP($I327,'Institution Evaluation'!$A$55:$F$346,4,0),IFERROR(VLOOKUP($I327,'Privacy Analyst Evaluation'!$A$46:$F$120,4,0),""))&amp;""</f>
        <v/>
      </c>
      <c r="M327" s="216" t="str">
        <f>IFERROR(VLOOKUP($I327,'Institution Evaluation'!$A$55:$F$346,6,0),IFERROR(VLOOKUP($I327,'Privacy Analyst Evaluation'!$A$46:$F$120,6,0),""))&amp;""</f>
        <v/>
      </c>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row>
    <row r="328" spans="1:338" x14ac:dyDescent="0.3">
      <c r="A328" s="216" t="str">
        <f>IFERROR(IF($A327+1&gt;'(backend scoring)'!$T$335,"",$A327+1),"")</f>
        <v/>
      </c>
      <c r="B328" s="216" t="str">
        <f>_xlfn.XLOOKUP($A328,'(backend scoring)'!$V$2:$V$333,'(backend scoring)'!$A$2:$A$333,"")</f>
        <v/>
      </c>
      <c r="C328" s="216" t="str">
        <f>IFERROR(VLOOKUP($B328,'Institution Evaluation'!$A$55:$F$346,2,0),IFERROR(VLOOKUP($B328,'Privacy Analyst Evaluation'!$A$46:$F$120,2,0),""))&amp;""</f>
        <v/>
      </c>
      <c r="D328" s="216" t="str">
        <f>IFERROR(VLOOKUP($B328,'Institution Evaluation'!$A$55:$F$346,3,0),IFERROR(VLOOKUP($B328,'Privacy Analyst Evaluation'!$A$46:$F$120,3,0),""))&amp;""</f>
        <v/>
      </c>
      <c r="E328" s="216" t="str">
        <f>IFERROR(VLOOKUP($B328,'Institution Evaluation'!$A$55:$F$346,4,0),IFERROR(VLOOKUP($B328,'Privacy Analyst Evaluation'!$A$46:$F$120,4,0),""))&amp;""</f>
        <v/>
      </c>
      <c r="F328" s="216" t="str">
        <f>IFERROR(VLOOKUP($B328,'Institution Evaluation'!$A$55:$F$346,6,0),IFERROR(VLOOKUP($B328,'Privacy Analyst Evaluation'!$A$46:$F$120,6,0),""))&amp;""</f>
        <v/>
      </c>
      <c r="G328" s="217"/>
      <c r="H328" s="216" t="str">
        <f>IFERROR(IF($H327+1&gt;'(backend scoring)'!$Q$335,"",$H327+1),"")</f>
        <v/>
      </c>
      <c r="I328" s="216" t="str">
        <f>_xlfn.XLOOKUP($H328,'(backend scoring)'!$S$2:$S$333,'(backend scoring)'!$A$2:$A$333,"")</f>
        <v/>
      </c>
      <c r="J328" s="216" t="str">
        <f>IFERROR(VLOOKUP($I328,'Institution Evaluation'!$A$55:$F$346,2,0),IFERROR(VLOOKUP($I328,'Privacy Analyst Evaluation'!$A$46:$F$120,2,0),""))</f>
        <v/>
      </c>
      <c r="K328" s="216" t="str">
        <f>IFERROR(VLOOKUP($I328,'Institution Evaluation'!$A$55:$F$346,3,0),IFERROR(VLOOKUP($I328,'Privacy Analyst Evaluation'!$A$46:$F$120,3,0),""))&amp;""</f>
        <v/>
      </c>
      <c r="L328" s="216" t="str">
        <f>IFERROR(VLOOKUP($I328,'Institution Evaluation'!$A$55:$F$346,4,0),IFERROR(VLOOKUP($I328,'Privacy Analyst Evaluation'!$A$46:$F$120,4,0),""))&amp;""</f>
        <v/>
      </c>
      <c r="M328" s="216" t="str">
        <f>IFERROR(VLOOKUP($I328,'Institution Evaluation'!$A$55:$F$346,6,0),IFERROR(VLOOKUP($I328,'Privacy Analyst Evaluation'!$A$46:$F$120,6,0),""))&amp;""</f>
        <v/>
      </c>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row>
    <row r="329" spans="1:338" x14ac:dyDescent="0.3">
      <c r="A329" s="216" t="str">
        <f>IFERROR(IF($A328+1&gt;'(backend scoring)'!$T$335,"",$A328+1),"")</f>
        <v/>
      </c>
      <c r="B329" s="216" t="str">
        <f>_xlfn.XLOOKUP($A329,'(backend scoring)'!$V$2:$V$333,'(backend scoring)'!$A$2:$A$333,"")</f>
        <v/>
      </c>
      <c r="C329" s="216" t="str">
        <f>IFERROR(VLOOKUP($B329,'Institution Evaluation'!$A$55:$F$346,2,0),IFERROR(VLOOKUP($B329,'Privacy Analyst Evaluation'!$A$46:$F$120,2,0),""))&amp;""</f>
        <v/>
      </c>
      <c r="D329" s="216" t="str">
        <f>IFERROR(VLOOKUP($B329,'Institution Evaluation'!$A$55:$F$346,3,0),IFERROR(VLOOKUP($B329,'Privacy Analyst Evaluation'!$A$46:$F$120,3,0),""))&amp;""</f>
        <v/>
      </c>
      <c r="E329" s="216" t="str">
        <f>IFERROR(VLOOKUP($B329,'Institution Evaluation'!$A$55:$F$346,4,0),IFERROR(VLOOKUP($B329,'Privacy Analyst Evaluation'!$A$46:$F$120,4,0),""))&amp;""</f>
        <v/>
      </c>
      <c r="F329" s="216" t="str">
        <f>IFERROR(VLOOKUP($B329,'Institution Evaluation'!$A$55:$F$346,6,0),IFERROR(VLOOKUP($B329,'Privacy Analyst Evaluation'!$A$46:$F$120,6,0),""))&amp;""</f>
        <v/>
      </c>
      <c r="G329" s="217"/>
      <c r="H329" s="216" t="str">
        <f>IFERROR(IF($H328+1&gt;'(backend scoring)'!$Q$335,"",$H328+1),"")</f>
        <v/>
      </c>
      <c r="I329" s="216" t="str">
        <f>_xlfn.XLOOKUP($H329,'(backend scoring)'!$S$2:$S$333,'(backend scoring)'!$A$2:$A$333,"")</f>
        <v/>
      </c>
      <c r="J329" s="216" t="str">
        <f>IFERROR(VLOOKUP($I329,'Institution Evaluation'!$A$55:$F$346,2,0),IFERROR(VLOOKUP($I329,'Privacy Analyst Evaluation'!$A$46:$F$120,2,0),""))</f>
        <v/>
      </c>
      <c r="K329" s="216" t="str">
        <f>IFERROR(VLOOKUP($I329,'Institution Evaluation'!$A$55:$F$346,3,0),IFERROR(VLOOKUP($I329,'Privacy Analyst Evaluation'!$A$46:$F$120,3,0),""))&amp;""</f>
        <v/>
      </c>
      <c r="L329" s="216" t="str">
        <f>IFERROR(VLOOKUP($I329,'Institution Evaluation'!$A$55:$F$346,4,0),IFERROR(VLOOKUP($I329,'Privacy Analyst Evaluation'!$A$46:$F$120,4,0),""))&amp;""</f>
        <v/>
      </c>
      <c r="M329" s="216" t="str">
        <f>IFERROR(VLOOKUP($I329,'Institution Evaluation'!$A$55:$F$346,6,0),IFERROR(VLOOKUP($I329,'Privacy Analyst Evaluation'!$A$46:$F$120,6,0),""))&amp;""</f>
        <v/>
      </c>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row>
    <row r="330" spans="1:338" x14ac:dyDescent="0.3">
      <c r="A330" s="216" t="str">
        <f>IFERROR(IF($A329+1&gt;'(backend scoring)'!$T$335,"",$A329+1),"")</f>
        <v/>
      </c>
      <c r="B330" s="216" t="str">
        <f>_xlfn.XLOOKUP($A330,'(backend scoring)'!$V$2:$V$333,'(backend scoring)'!$A$2:$A$333,"")</f>
        <v/>
      </c>
      <c r="C330" s="216" t="str">
        <f>IFERROR(VLOOKUP($B330,'Institution Evaluation'!$A$55:$F$346,2,0),IFERROR(VLOOKUP($B330,'Privacy Analyst Evaluation'!$A$46:$F$120,2,0),""))&amp;""</f>
        <v/>
      </c>
      <c r="D330" s="216" t="str">
        <f>IFERROR(VLOOKUP($B330,'Institution Evaluation'!$A$55:$F$346,3,0),IFERROR(VLOOKUP($B330,'Privacy Analyst Evaluation'!$A$46:$F$120,3,0),""))&amp;""</f>
        <v/>
      </c>
      <c r="E330" s="216" t="str">
        <f>IFERROR(VLOOKUP($B330,'Institution Evaluation'!$A$55:$F$346,4,0),IFERROR(VLOOKUP($B330,'Privacy Analyst Evaluation'!$A$46:$F$120,4,0),""))&amp;""</f>
        <v/>
      </c>
      <c r="F330" s="216" t="str">
        <f>IFERROR(VLOOKUP($B330,'Institution Evaluation'!$A$55:$F$346,6,0),IFERROR(VLOOKUP($B330,'Privacy Analyst Evaluation'!$A$46:$F$120,6,0),""))&amp;""</f>
        <v/>
      </c>
      <c r="G330" s="217"/>
      <c r="H330" s="216" t="str">
        <f>IFERROR(IF($H329+1&gt;'(backend scoring)'!$Q$335,"",$H329+1),"")</f>
        <v/>
      </c>
      <c r="I330" s="216" t="str">
        <f>_xlfn.XLOOKUP($H330,'(backend scoring)'!$S$2:$S$333,'(backend scoring)'!$A$2:$A$333,"")</f>
        <v/>
      </c>
      <c r="J330" s="216" t="str">
        <f>IFERROR(VLOOKUP($I330,'Institution Evaluation'!$A$55:$F$346,2,0),IFERROR(VLOOKUP($I330,'Privacy Analyst Evaluation'!$A$46:$F$120,2,0),""))</f>
        <v/>
      </c>
      <c r="K330" s="216" t="str">
        <f>IFERROR(VLOOKUP($I330,'Institution Evaluation'!$A$55:$F$346,3,0),IFERROR(VLOOKUP($I330,'Privacy Analyst Evaluation'!$A$46:$F$120,3,0),""))&amp;""</f>
        <v/>
      </c>
      <c r="L330" s="216" t="str">
        <f>IFERROR(VLOOKUP($I330,'Institution Evaluation'!$A$55:$F$346,4,0),IFERROR(VLOOKUP($I330,'Privacy Analyst Evaluation'!$A$46:$F$120,4,0),""))&amp;""</f>
        <v/>
      </c>
      <c r="M330" s="216" t="str">
        <f>IFERROR(VLOOKUP($I330,'Institution Evaluation'!$A$55:$F$346,6,0),IFERROR(VLOOKUP($I330,'Privacy Analyst Evaluation'!$A$46:$F$120,6,0),""))&amp;""</f>
        <v/>
      </c>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row>
    <row r="331" spans="1:338" x14ac:dyDescent="0.3">
      <c r="A331" s="216" t="str">
        <f>IFERROR(IF($A330+1&gt;'(backend scoring)'!$T$335,"",$A330+1),"")</f>
        <v/>
      </c>
      <c r="B331" s="216" t="str">
        <f>_xlfn.XLOOKUP($A331,'(backend scoring)'!$V$2:$V$333,'(backend scoring)'!$A$2:$A$333,"")</f>
        <v/>
      </c>
      <c r="C331" s="216" t="str">
        <f>IFERROR(VLOOKUP($B331,'Institution Evaluation'!$A$55:$F$346,2,0),IFERROR(VLOOKUP($B331,'Privacy Analyst Evaluation'!$A$46:$F$120,2,0),""))&amp;""</f>
        <v/>
      </c>
      <c r="D331" s="216" t="str">
        <f>IFERROR(VLOOKUP($B331,'Institution Evaluation'!$A$55:$F$346,3,0),IFERROR(VLOOKUP($B331,'Privacy Analyst Evaluation'!$A$46:$F$120,3,0),""))&amp;""</f>
        <v/>
      </c>
      <c r="E331" s="216" t="str">
        <f>IFERROR(VLOOKUP($B331,'Institution Evaluation'!$A$55:$F$346,4,0),IFERROR(VLOOKUP($B331,'Privacy Analyst Evaluation'!$A$46:$F$120,4,0),""))&amp;""</f>
        <v/>
      </c>
      <c r="F331" s="216" t="str">
        <f>IFERROR(VLOOKUP($B331,'Institution Evaluation'!$A$55:$F$346,6,0),IFERROR(VLOOKUP($B331,'Privacy Analyst Evaluation'!$A$46:$F$120,6,0),""))&amp;""</f>
        <v/>
      </c>
      <c r="G331" s="217"/>
      <c r="H331" s="216" t="str">
        <f>IFERROR(IF($H330+1&gt;'(backend scoring)'!$Q$335,"",$H330+1),"")</f>
        <v/>
      </c>
      <c r="I331" s="216" t="str">
        <f>_xlfn.XLOOKUP($H331,'(backend scoring)'!$S$2:$S$333,'(backend scoring)'!$A$2:$A$333,"")</f>
        <v/>
      </c>
      <c r="J331" s="216" t="str">
        <f>IFERROR(VLOOKUP($I331,'Institution Evaluation'!$A$55:$F$346,2,0),IFERROR(VLOOKUP($I331,'Privacy Analyst Evaluation'!$A$46:$F$120,2,0),""))</f>
        <v/>
      </c>
      <c r="K331" s="216" t="str">
        <f>IFERROR(VLOOKUP($I331,'Institution Evaluation'!$A$55:$F$346,3,0),IFERROR(VLOOKUP($I331,'Privacy Analyst Evaluation'!$A$46:$F$120,3,0),""))&amp;""</f>
        <v/>
      </c>
      <c r="L331" s="216" t="str">
        <f>IFERROR(VLOOKUP($I331,'Institution Evaluation'!$A$55:$F$346,4,0),IFERROR(VLOOKUP($I331,'Privacy Analyst Evaluation'!$A$46:$F$120,4,0),""))&amp;""</f>
        <v/>
      </c>
      <c r="M331" s="216" t="str">
        <f>IFERROR(VLOOKUP($I331,'Institution Evaluation'!$A$55:$F$346,6,0),IFERROR(VLOOKUP($I331,'Privacy Analyst Evaluation'!$A$46:$F$120,6,0),""))&amp;""</f>
        <v/>
      </c>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row>
    <row r="332" spans="1:338" x14ac:dyDescent="0.3">
      <c r="A332" s="216" t="str">
        <f>IFERROR(IF($A331+1&gt;'(backend scoring)'!$T$335,"",$A331+1),"")</f>
        <v/>
      </c>
      <c r="B332" s="216" t="str">
        <f>_xlfn.XLOOKUP($A332,'(backend scoring)'!$V$2:$V$333,'(backend scoring)'!$A$2:$A$333,"")</f>
        <v/>
      </c>
      <c r="C332" s="216" t="str">
        <f>IFERROR(VLOOKUP($B332,'Institution Evaluation'!$A$55:$F$346,2,0),IFERROR(VLOOKUP($B332,'Privacy Analyst Evaluation'!$A$46:$F$120,2,0),""))&amp;""</f>
        <v/>
      </c>
      <c r="D332" s="216" t="str">
        <f>IFERROR(VLOOKUP($B332,'Institution Evaluation'!$A$55:$F$346,3,0),IFERROR(VLOOKUP($B332,'Privacy Analyst Evaluation'!$A$46:$F$120,3,0),""))&amp;""</f>
        <v/>
      </c>
      <c r="E332" s="216" t="str">
        <f>IFERROR(VLOOKUP($B332,'Institution Evaluation'!$A$55:$F$346,4,0),IFERROR(VLOOKUP($B332,'Privacy Analyst Evaluation'!$A$46:$F$120,4,0),""))&amp;""</f>
        <v/>
      </c>
      <c r="F332" s="216" t="str">
        <f>IFERROR(VLOOKUP($B332,'Institution Evaluation'!$A$55:$F$346,6,0),IFERROR(VLOOKUP($B332,'Privacy Analyst Evaluation'!$A$46:$F$120,6,0),""))&amp;""</f>
        <v/>
      </c>
      <c r="G332" s="217"/>
      <c r="H332" s="216" t="str">
        <f>IFERROR(IF($H331+1&gt;'(backend scoring)'!$Q$335,"",$H331+1),"")</f>
        <v/>
      </c>
      <c r="I332" s="216" t="str">
        <f>_xlfn.XLOOKUP($H332,'(backend scoring)'!$S$2:$S$333,'(backend scoring)'!$A$2:$A$333,"")</f>
        <v/>
      </c>
      <c r="J332" s="216" t="str">
        <f>IFERROR(VLOOKUP($I332,'Institution Evaluation'!$A$55:$F$346,2,0),IFERROR(VLOOKUP($I332,'Privacy Analyst Evaluation'!$A$46:$F$120,2,0),""))</f>
        <v/>
      </c>
      <c r="K332" s="216" t="str">
        <f>IFERROR(VLOOKUP($I332,'Institution Evaluation'!$A$55:$F$346,3,0),IFERROR(VLOOKUP($I332,'Privacy Analyst Evaluation'!$A$46:$F$120,3,0),""))&amp;""</f>
        <v/>
      </c>
      <c r="L332" s="216" t="str">
        <f>IFERROR(VLOOKUP($I332,'Institution Evaluation'!$A$55:$F$346,4,0),IFERROR(VLOOKUP($I332,'Privacy Analyst Evaluation'!$A$46:$F$120,4,0),""))&amp;""</f>
        <v/>
      </c>
      <c r="M332" s="216" t="str">
        <f>IFERROR(VLOOKUP($I332,'Institution Evaluation'!$A$55:$F$346,6,0),IFERROR(VLOOKUP($I332,'Privacy Analyst Evaluation'!$A$46:$F$120,6,0),""))&amp;""</f>
        <v/>
      </c>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row>
    <row r="333" spans="1:338" x14ac:dyDescent="0.3">
      <c r="A333" s="216" t="str">
        <f>IFERROR(IF($A332+1&gt;'(backend scoring)'!$T$335,"",$A332+1),"")</f>
        <v/>
      </c>
      <c r="B333" s="216" t="str">
        <f>_xlfn.XLOOKUP($A333,'(backend scoring)'!$V$2:$V$333,'(backend scoring)'!$A$2:$A$333,"")</f>
        <v/>
      </c>
      <c r="C333" s="216" t="str">
        <f>IFERROR(VLOOKUP($B333,'Institution Evaluation'!$A$55:$F$346,2,0),IFERROR(VLOOKUP($B333,'Privacy Analyst Evaluation'!$A$46:$F$120,2,0),""))&amp;""</f>
        <v/>
      </c>
      <c r="D333" s="216" t="str">
        <f>IFERROR(VLOOKUP($B333,'Institution Evaluation'!$A$55:$F$346,3,0),IFERROR(VLOOKUP($B333,'Privacy Analyst Evaluation'!$A$46:$F$120,3,0),""))&amp;""</f>
        <v/>
      </c>
      <c r="E333" s="216" t="str">
        <f>IFERROR(VLOOKUP($B333,'Institution Evaluation'!$A$55:$F$346,4,0),IFERROR(VLOOKUP($B333,'Privacy Analyst Evaluation'!$A$46:$F$120,4,0),""))&amp;""</f>
        <v/>
      </c>
      <c r="F333" s="216" t="str">
        <f>IFERROR(VLOOKUP($B333,'Institution Evaluation'!$A$55:$F$346,6,0),IFERROR(VLOOKUP($B333,'Privacy Analyst Evaluation'!$A$46:$F$120,6,0),""))&amp;""</f>
        <v/>
      </c>
      <c r="G333" s="217"/>
      <c r="H333" s="216" t="str">
        <f>IFERROR(IF($H332+1&gt;'(backend scoring)'!$Q$335,"",$H332+1),"")</f>
        <v/>
      </c>
      <c r="I333" s="216" t="str">
        <f>_xlfn.XLOOKUP($H333,'(backend scoring)'!$S$2:$S$333,'(backend scoring)'!$A$2:$A$333,"")</f>
        <v/>
      </c>
      <c r="J333" s="216" t="str">
        <f>IFERROR(VLOOKUP($I333,'Institution Evaluation'!$A$55:$F$346,2,0),IFERROR(VLOOKUP($I333,'Privacy Analyst Evaluation'!$A$46:$F$120,2,0),""))</f>
        <v/>
      </c>
      <c r="K333" s="216" t="str">
        <f>IFERROR(VLOOKUP($I333,'Institution Evaluation'!$A$55:$F$346,3,0),IFERROR(VLOOKUP($I333,'Privacy Analyst Evaluation'!$A$46:$F$120,3,0),""))&amp;""</f>
        <v/>
      </c>
      <c r="L333" s="216" t="str">
        <f>IFERROR(VLOOKUP($I333,'Institution Evaluation'!$A$55:$F$346,4,0),IFERROR(VLOOKUP($I333,'Privacy Analyst Evaluation'!$A$46:$F$120,4,0),""))&amp;""</f>
        <v/>
      </c>
      <c r="M333" s="216" t="str">
        <f>IFERROR(VLOOKUP($I333,'Institution Evaluation'!$A$55:$F$346,6,0),IFERROR(VLOOKUP($I333,'Privacy Analyst Evaluation'!$A$46:$F$120,6,0),""))&amp;""</f>
        <v/>
      </c>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row>
    <row r="334" spans="1:338" x14ac:dyDescent="0.3">
      <c r="A334" s="216" t="str">
        <f>IFERROR(IF($A333+1&gt;'(backend scoring)'!$T$335,"",$A333+1),"")</f>
        <v/>
      </c>
      <c r="B334" s="216" t="str">
        <f>_xlfn.XLOOKUP($A334,'(backend scoring)'!$V$2:$V$333,'(backend scoring)'!$A$2:$A$333,"")</f>
        <v/>
      </c>
      <c r="C334" s="216" t="str">
        <f>IFERROR(VLOOKUP($B334,'Institution Evaluation'!$A$55:$F$346,2,0),IFERROR(VLOOKUP($B334,'Privacy Analyst Evaluation'!$A$46:$F$120,2,0),""))&amp;""</f>
        <v/>
      </c>
      <c r="D334" s="216" t="str">
        <f>IFERROR(VLOOKUP($B334,'Institution Evaluation'!$A$55:$F$346,3,0),IFERROR(VLOOKUP($B334,'Privacy Analyst Evaluation'!$A$46:$F$120,3,0),""))&amp;""</f>
        <v/>
      </c>
      <c r="E334" s="216" t="str">
        <f>IFERROR(VLOOKUP($B334,'Institution Evaluation'!$A$55:$F$346,4,0),IFERROR(VLOOKUP($B334,'Privacy Analyst Evaluation'!$A$46:$F$120,4,0),""))&amp;""</f>
        <v/>
      </c>
      <c r="F334" s="216" t="str">
        <f>IFERROR(VLOOKUP($B334,'Institution Evaluation'!$A$55:$F$346,6,0),IFERROR(VLOOKUP($B334,'Privacy Analyst Evaluation'!$A$46:$F$120,6,0),""))&amp;""</f>
        <v/>
      </c>
      <c r="G334" s="217"/>
      <c r="H334" s="216" t="str">
        <f>IFERROR(IF($H333+1&gt;'(backend scoring)'!$Q$335,"",$H333+1),"")</f>
        <v/>
      </c>
      <c r="I334" s="216" t="str">
        <f>_xlfn.XLOOKUP($H334,'(backend scoring)'!$S$2:$S$333,'(backend scoring)'!$A$2:$A$333,"")</f>
        <v/>
      </c>
      <c r="J334" s="216" t="str">
        <f>IFERROR(VLOOKUP($I334,'Institution Evaluation'!$A$55:$F$346,2,0),IFERROR(VLOOKUP($I334,'Privacy Analyst Evaluation'!$A$46:$F$120,2,0),""))</f>
        <v/>
      </c>
      <c r="K334" s="216" t="str">
        <f>IFERROR(VLOOKUP($I334,'Institution Evaluation'!$A$55:$F$346,3,0),IFERROR(VLOOKUP($I334,'Privacy Analyst Evaluation'!$A$46:$F$120,3,0),""))&amp;""</f>
        <v/>
      </c>
      <c r="L334" s="216" t="str">
        <f>IFERROR(VLOOKUP($I334,'Institution Evaluation'!$A$55:$F$346,4,0),IFERROR(VLOOKUP($I334,'Privacy Analyst Evaluation'!$A$46:$F$120,4,0),""))&amp;""</f>
        <v/>
      </c>
      <c r="M334" s="216" t="str">
        <f>IFERROR(VLOOKUP($I334,'Institution Evaluation'!$A$55:$F$346,6,0),IFERROR(VLOOKUP($I334,'Privacy Analyst Evaluation'!$A$46:$F$120,6,0),""))&amp;""</f>
        <v/>
      </c>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row>
    <row r="335" spans="1:338" x14ac:dyDescent="0.3">
      <c r="A335" s="216" t="str">
        <f>IFERROR(IF($A334+1&gt;'(backend scoring)'!$T$335,"",$A334+1),"")</f>
        <v/>
      </c>
      <c r="B335" s="216" t="str">
        <f>_xlfn.XLOOKUP($A335,'(backend scoring)'!$V$2:$V$333,'(backend scoring)'!$A$2:$A$333,"")</f>
        <v/>
      </c>
      <c r="C335" s="216" t="str">
        <f>IFERROR(VLOOKUP($B335,'Institution Evaluation'!$A$55:$F$346,2,0),IFERROR(VLOOKUP($B335,'Privacy Analyst Evaluation'!$A$46:$F$120,2,0),""))&amp;""</f>
        <v/>
      </c>
      <c r="D335" s="216" t="str">
        <f>IFERROR(VLOOKUP($B335,'Institution Evaluation'!$A$55:$F$346,3,0),IFERROR(VLOOKUP($B335,'Privacy Analyst Evaluation'!$A$46:$F$120,3,0),""))&amp;""</f>
        <v/>
      </c>
      <c r="E335" s="216" t="str">
        <f>IFERROR(VLOOKUP($B335,'Institution Evaluation'!$A$55:$F$346,4,0),IFERROR(VLOOKUP($B335,'Privacy Analyst Evaluation'!$A$46:$F$120,4,0),""))&amp;""</f>
        <v/>
      </c>
      <c r="F335" s="216" t="str">
        <f>IFERROR(VLOOKUP($B335,'Institution Evaluation'!$A$55:$F$346,6,0),IFERROR(VLOOKUP($B335,'Privacy Analyst Evaluation'!$A$46:$F$120,6,0),""))&amp;""</f>
        <v/>
      </c>
      <c r="G335" s="217"/>
      <c r="H335" s="216" t="str">
        <f>IFERROR(IF($H334+1&gt;'(backend scoring)'!$Q$335,"",$H334+1),"")</f>
        <v/>
      </c>
      <c r="I335" s="216" t="str">
        <f>_xlfn.XLOOKUP($H335,'(backend scoring)'!$S$2:$S$333,'(backend scoring)'!$A$2:$A$333,"")</f>
        <v/>
      </c>
      <c r="J335" s="216" t="str">
        <f>IFERROR(VLOOKUP($I335,'Institution Evaluation'!$A$55:$F$346,2,0),IFERROR(VLOOKUP($I335,'Privacy Analyst Evaluation'!$A$46:$F$120,2,0),""))</f>
        <v/>
      </c>
      <c r="K335" s="216" t="str">
        <f>IFERROR(VLOOKUP($I335,'Institution Evaluation'!$A$55:$F$346,3,0),IFERROR(VLOOKUP($I335,'Privacy Analyst Evaluation'!$A$46:$F$120,3,0),""))&amp;""</f>
        <v/>
      </c>
      <c r="L335" s="216" t="str">
        <f>IFERROR(VLOOKUP($I335,'Institution Evaluation'!$A$55:$F$346,4,0),IFERROR(VLOOKUP($I335,'Privacy Analyst Evaluation'!$A$46:$F$120,4,0),""))&amp;""</f>
        <v/>
      </c>
      <c r="M335" s="216" t="str">
        <f>IFERROR(VLOOKUP($I335,'Institution Evaluation'!$A$55:$F$346,6,0),IFERROR(VLOOKUP($I335,'Privacy Analyst Evaluation'!$A$46:$F$120,6,0),""))&amp;""</f>
        <v/>
      </c>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row>
    <row r="336" spans="1:338" x14ac:dyDescent="0.3">
      <c r="A336" s="216" t="str">
        <f>IFERROR(IF($A335+1&gt;'(backend scoring)'!$T$335,"",$A335+1),"")</f>
        <v/>
      </c>
      <c r="B336" s="216" t="str">
        <f>_xlfn.XLOOKUP($A336,'(backend scoring)'!$V$2:$V$333,'(backend scoring)'!$A$2:$A$333,"")</f>
        <v/>
      </c>
      <c r="C336" s="216" t="str">
        <f>IFERROR(VLOOKUP($B336,'Institution Evaluation'!$A$55:$F$346,2,0),IFERROR(VLOOKUP($B336,'Privacy Analyst Evaluation'!$A$46:$F$120,2,0),""))&amp;""</f>
        <v/>
      </c>
      <c r="D336" s="216" t="str">
        <f>IFERROR(VLOOKUP($B336,'Institution Evaluation'!$A$55:$F$346,3,0),IFERROR(VLOOKUP($B336,'Privacy Analyst Evaluation'!$A$46:$F$120,3,0),""))&amp;""</f>
        <v/>
      </c>
      <c r="E336" s="216" t="str">
        <f>IFERROR(VLOOKUP($B336,'Institution Evaluation'!$A$55:$F$346,4,0),IFERROR(VLOOKUP($B336,'Privacy Analyst Evaluation'!$A$46:$F$120,4,0),""))&amp;""</f>
        <v/>
      </c>
      <c r="F336" s="216" t="str">
        <f>IFERROR(VLOOKUP($B336,'Institution Evaluation'!$A$55:$F$346,6,0),IFERROR(VLOOKUP($B336,'Privacy Analyst Evaluation'!$A$46:$F$120,6,0),""))&amp;""</f>
        <v/>
      </c>
      <c r="G336" s="217"/>
      <c r="H336" s="216" t="str">
        <f>IFERROR(IF($H335+1&gt;'(backend scoring)'!$Q$335,"",$H335+1),"")</f>
        <v/>
      </c>
      <c r="I336" s="216" t="str">
        <f>_xlfn.XLOOKUP($H336,'(backend scoring)'!$S$2:$S$333,'(backend scoring)'!$A$2:$A$333,"")</f>
        <v/>
      </c>
      <c r="J336" s="216" t="str">
        <f>IFERROR(VLOOKUP($I336,'Institution Evaluation'!$A$55:$F$346,2,0),IFERROR(VLOOKUP($I336,'Privacy Analyst Evaluation'!$A$46:$F$120,2,0),""))</f>
        <v/>
      </c>
      <c r="K336" s="216" t="str">
        <f>IFERROR(VLOOKUP($I336,'Institution Evaluation'!$A$55:$F$346,3,0),IFERROR(VLOOKUP($I336,'Privacy Analyst Evaluation'!$A$46:$F$120,3,0),""))&amp;""</f>
        <v/>
      </c>
      <c r="L336" s="216" t="str">
        <f>IFERROR(VLOOKUP($I336,'Institution Evaluation'!$A$55:$F$346,4,0),IFERROR(VLOOKUP($I336,'Privacy Analyst Evaluation'!$A$46:$F$120,4,0),""))&amp;""</f>
        <v/>
      </c>
      <c r="M336" s="216" t="str">
        <f>IFERROR(VLOOKUP($I336,'Institution Evaluation'!$A$55:$F$346,6,0),IFERROR(VLOOKUP($I336,'Privacy Analyst Evaluation'!$A$46:$F$120,6,0),""))&amp;""</f>
        <v/>
      </c>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row>
    <row r="337" spans="1:338" x14ac:dyDescent="0.3">
      <c r="A337" s="216" t="str">
        <f>IFERROR(IF($A336+1&gt;'(backend scoring)'!$T$335,"",$A336+1),"")</f>
        <v/>
      </c>
      <c r="B337" s="216" t="str">
        <f>_xlfn.XLOOKUP($A337,'(backend scoring)'!$V$2:$V$333,'(backend scoring)'!$A$2:$A$333,"")</f>
        <v/>
      </c>
      <c r="C337" s="216" t="str">
        <f>IFERROR(VLOOKUP($B337,'Institution Evaluation'!$A$55:$F$346,2,0),IFERROR(VLOOKUP($B337,'Privacy Analyst Evaluation'!$A$46:$F$120,2,0),""))&amp;""</f>
        <v/>
      </c>
      <c r="D337" s="216" t="str">
        <f>IFERROR(VLOOKUP($B337,'Institution Evaluation'!$A$55:$F$346,3,0),IFERROR(VLOOKUP($B337,'Privacy Analyst Evaluation'!$A$46:$F$120,3,0),""))&amp;""</f>
        <v/>
      </c>
      <c r="E337" s="216" t="str">
        <f>IFERROR(VLOOKUP($B337,'Institution Evaluation'!$A$55:$F$346,4,0),IFERROR(VLOOKUP($B337,'Privacy Analyst Evaluation'!$A$46:$F$120,4,0),""))&amp;""</f>
        <v/>
      </c>
      <c r="F337" s="216" t="str">
        <f>IFERROR(VLOOKUP($B337,'Institution Evaluation'!$A$55:$F$346,6,0),IFERROR(VLOOKUP($B337,'Privacy Analyst Evaluation'!$A$46:$F$120,6,0),""))&amp;""</f>
        <v/>
      </c>
      <c r="G337" s="217"/>
      <c r="H337" s="216" t="str">
        <f>IFERROR(IF($H336+1&gt;'(backend scoring)'!$Q$335,"",$H336+1),"")</f>
        <v/>
      </c>
      <c r="I337" s="216" t="str">
        <f>_xlfn.XLOOKUP($H337,'(backend scoring)'!$S$2:$S$333,'(backend scoring)'!$A$2:$A$333,"")</f>
        <v/>
      </c>
      <c r="J337" s="216" t="str">
        <f>IFERROR(VLOOKUP($I337,'Institution Evaluation'!$A$55:$F$346,2,0),IFERROR(VLOOKUP($I337,'Privacy Analyst Evaluation'!$A$46:$F$120,2,0),""))</f>
        <v/>
      </c>
      <c r="K337" s="216" t="str">
        <f>IFERROR(VLOOKUP($I337,'Institution Evaluation'!$A$55:$F$346,3,0),IFERROR(VLOOKUP($I337,'Privacy Analyst Evaluation'!$A$46:$F$120,3,0),""))&amp;""</f>
        <v/>
      </c>
      <c r="L337" s="216" t="str">
        <f>IFERROR(VLOOKUP($I337,'Institution Evaluation'!$A$55:$F$346,4,0),IFERROR(VLOOKUP($I337,'Privacy Analyst Evaluation'!$A$46:$F$120,4,0),""))&amp;""</f>
        <v/>
      </c>
      <c r="M337" s="216" t="str">
        <f>IFERROR(VLOOKUP($I337,'Institution Evaluation'!$A$55:$F$346,6,0),IFERROR(VLOOKUP($I337,'Privacy Analyst Evaluation'!$A$46:$F$120,6,0),""))&amp;""</f>
        <v/>
      </c>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row>
    <row r="338" spans="1:338" x14ac:dyDescent="0.3">
      <c r="A338" s="216" t="str">
        <f>IFERROR(IF($A337+1&gt;'(backend scoring)'!$T$335,"",$A337+1),"")</f>
        <v/>
      </c>
      <c r="B338" s="216" t="str">
        <f>_xlfn.XLOOKUP($A338,'(backend scoring)'!$V$2:$V$333,'(backend scoring)'!$A$2:$A$333,"")</f>
        <v/>
      </c>
      <c r="C338" s="216" t="str">
        <f>IFERROR(VLOOKUP($B338,'Institution Evaluation'!$A$55:$F$346,2,0),IFERROR(VLOOKUP($B338,'Privacy Analyst Evaluation'!$A$46:$F$120,2,0),""))&amp;""</f>
        <v/>
      </c>
      <c r="D338" s="216" t="str">
        <f>IFERROR(VLOOKUP($B338,'Institution Evaluation'!$A$55:$F$346,3,0),IFERROR(VLOOKUP($B338,'Privacy Analyst Evaluation'!$A$46:$F$120,3,0),""))&amp;""</f>
        <v/>
      </c>
      <c r="E338" s="216" t="str">
        <f>IFERROR(VLOOKUP($B338,'Institution Evaluation'!$A$55:$F$346,4,0),IFERROR(VLOOKUP($B338,'Privacy Analyst Evaluation'!$A$46:$F$120,4,0),""))&amp;""</f>
        <v/>
      </c>
      <c r="F338" s="216" t="str">
        <f>IFERROR(VLOOKUP($B338,'Institution Evaluation'!$A$55:$F$346,6,0),IFERROR(VLOOKUP($B338,'Privacy Analyst Evaluation'!$A$46:$F$120,6,0),""))&amp;""</f>
        <v/>
      </c>
      <c r="G338" s="217"/>
      <c r="H338" s="216" t="str">
        <f>IFERROR(IF($H337+1&gt;'(backend scoring)'!$Q$335,"",$H337+1),"")</f>
        <v/>
      </c>
      <c r="I338" s="216" t="str">
        <f>_xlfn.XLOOKUP($H338,'(backend scoring)'!$S$2:$S$333,'(backend scoring)'!$A$2:$A$333,"")</f>
        <v/>
      </c>
      <c r="J338" s="216" t="str">
        <f>IFERROR(VLOOKUP($I338,'Institution Evaluation'!$A$55:$F$346,2,0),IFERROR(VLOOKUP($I338,'Privacy Analyst Evaluation'!$A$46:$F$120,2,0),""))</f>
        <v/>
      </c>
      <c r="K338" s="216" t="str">
        <f>IFERROR(VLOOKUP($I338,'Institution Evaluation'!$A$55:$F$346,3,0),IFERROR(VLOOKUP($I338,'Privacy Analyst Evaluation'!$A$46:$F$120,3,0),""))&amp;""</f>
        <v/>
      </c>
      <c r="L338" s="216" t="str">
        <f>IFERROR(VLOOKUP($I338,'Institution Evaluation'!$A$55:$F$346,4,0),IFERROR(VLOOKUP($I338,'Privacy Analyst Evaluation'!$A$46:$F$120,4,0),""))&amp;""</f>
        <v/>
      </c>
      <c r="M338" s="216" t="str">
        <f>IFERROR(VLOOKUP($I338,'Institution Evaluation'!$A$55:$F$346,6,0),IFERROR(VLOOKUP($I338,'Privacy Analyst Evaluation'!$A$46:$F$120,6,0),""))&amp;""</f>
        <v/>
      </c>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row>
    <row r="339" spans="1:338" x14ac:dyDescent="0.3">
      <c r="A339" s="216" t="str">
        <f>IFERROR(IF($A338+1&gt;'(backend scoring)'!$T$335,"",$A338+1),"")</f>
        <v/>
      </c>
      <c r="B339" s="216" t="str">
        <f>_xlfn.XLOOKUP($A339,'(backend scoring)'!$V$2:$V$333,'(backend scoring)'!$A$2:$A$333,"")</f>
        <v/>
      </c>
      <c r="C339" s="216" t="str">
        <f>IFERROR(VLOOKUP($B339,'Institution Evaluation'!$A$55:$F$346,2,0),IFERROR(VLOOKUP($B339,'Privacy Analyst Evaluation'!$A$46:$F$120,2,0),""))&amp;""</f>
        <v/>
      </c>
      <c r="D339" s="216" t="str">
        <f>IFERROR(VLOOKUP($B339,'Institution Evaluation'!$A$55:$F$346,3,0),IFERROR(VLOOKUP($B339,'Privacy Analyst Evaluation'!$A$46:$F$120,3,0),""))&amp;""</f>
        <v/>
      </c>
      <c r="E339" s="216" t="str">
        <f>IFERROR(VLOOKUP($B339,'Institution Evaluation'!$A$55:$F$346,4,0),IFERROR(VLOOKUP($B339,'Privacy Analyst Evaluation'!$A$46:$F$120,4,0),""))&amp;""</f>
        <v/>
      </c>
      <c r="F339" s="216" t="str">
        <f>IFERROR(VLOOKUP($B339,'Institution Evaluation'!$A$55:$F$346,6,0),IFERROR(VLOOKUP($B339,'Privacy Analyst Evaluation'!$A$46:$F$120,6,0),""))&amp;""</f>
        <v/>
      </c>
      <c r="G339" s="217"/>
      <c r="H339" s="216" t="str">
        <f>IFERROR(IF($H338+1&gt;'(backend scoring)'!$Q$335,"",$H338+1),"")</f>
        <v/>
      </c>
      <c r="I339" s="216" t="str">
        <f>_xlfn.XLOOKUP($H339,'(backend scoring)'!$S$2:$S$333,'(backend scoring)'!$A$2:$A$333,"")</f>
        <v/>
      </c>
      <c r="J339" s="216" t="str">
        <f>IFERROR(VLOOKUP($I339,'Institution Evaluation'!$A$55:$F$346,2,0),IFERROR(VLOOKUP($I339,'Privacy Analyst Evaluation'!$A$46:$F$120,2,0),""))</f>
        <v/>
      </c>
      <c r="K339" s="216" t="str">
        <f>IFERROR(VLOOKUP($I339,'Institution Evaluation'!$A$55:$F$346,3,0),IFERROR(VLOOKUP($I339,'Privacy Analyst Evaluation'!$A$46:$F$120,3,0),""))&amp;""</f>
        <v/>
      </c>
      <c r="L339" s="216" t="str">
        <f>IFERROR(VLOOKUP($I339,'Institution Evaluation'!$A$55:$F$346,4,0),IFERROR(VLOOKUP($I339,'Privacy Analyst Evaluation'!$A$46:$F$120,4,0),""))&amp;""</f>
        <v/>
      </c>
      <c r="M339" s="216" t="str">
        <f>IFERROR(VLOOKUP($I339,'Institution Evaluation'!$A$55:$F$346,6,0),IFERROR(VLOOKUP($I339,'Privacy Analyst Evaluation'!$A$46:$F$120,6,0),""))&amp;""</f>
        <v/>
      </c>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row>
    <row r="340" spans="1:338" x14ac:dyDescent="0.3">
      <c r="A340" s="216" t="str">
        <f>IFERROR(IF($A339+1&gt;'(backend scoring)'!$T$335,"",$A339+1),"")</f>
        <v/>
      </c>
      <c r="B340" s="216" t="str">
        <f>_xlfn.XLOOKUP($A340,'(backend scoring)'!$V$2:$V$333,'(backend scoring)'!$A$2:$A$333,"")</f>
        <v/>
      </c>
      <c r="C340" s="216" t="str">
        <f>IFERROR(VLOOKUP($B340,'Institution Evaluation'!$A$55:$F$346,2,0),IFERROR(VLOOKUP($B340,'Privacy Analyst Evaluation'!$A$46:$F$120,2,0),""))&amp;""</f>
        <v/>
      </c>
      <c r="D340" s="216" t="str">
        <f>IFERROR(VLOOKUP($B340,'Institution Evaluation'!$A$55:$F$346,3,0),IFERROR(VLOOKUP($B340,'Privacy Analyst Evaluation'!$A$46:$F$120,3,0),""))&amp;""</f>
        <v/>
      </c>
      <c r="E340" s="216" t="str">
        <f>IFERROR(VLOOKUP($B340,'Institution Evaluation'!$A$55:$F$346,4,0),IFERROR(VLOOKUP($B340,'Privacy Analyst Evaluation'!$A$46:$F$120,4,0),""))&amp;""</f>
        <v/>
      </c>
      <c r="F340" s="216" t="str">
        <f>IFERROR(VLOOKUP($B340,'Institution Evaluation'!$A$55:$F$346,6,0),IFERROR(VLOOKUP($B340,'Privacy Analyst Evaluation'!$A$46:$F$120,6,0),""))&amp;""</f>
        <v/>
      </c>
      <c r="G340" s="217"/>
      <c r="H340" s="216" t="str">
        <f>IFERROR(IF($H339+1&gt;'(backend scoring)'!$Q$335,"",$H339+1),"")</f>
        <v/>
      </c>
      <c r="I340" s="216" t="str">
        <f>_xlfn.XLOOKUP($H340,'(backend scoring)'!$S$2:$S$333,'(backend scoring)'!$A$2:$A$333,"")</f>
        <v/>
      </c>
      <c r="J340" s="216" t="str">
        <f>IFERROR(VLOOKUP($I340,'Institution Evaluation'!$A$55:$F$346,2,0),IFERROR(VLOOKUP($I340,'Privacy Analyst Evaluation'!$A$46:$F$120,2,0),""))</f>
        <v/>
      </c>
      <c r="K340" s="216" t="str">
        <f>IFERROR(VLOOKUP($I340,'Institution Evaluation'!$A$55:$F$346,3,0),IFERROR(VLOOKUP($I340,'Privacy Analyst Evaluation'!$A$46:$F$120,3,0),""))&amp;""</f>
        <v/>
      </c>
      <c r="L340" s="216" t="str">
        <f>IFERROR(VLOOKUP($I340,'Institution Evaluation'!$A$55:$F$346,4,0),IFERROR(VLOOKUP($I340,'Privacy Analyst Evaluation'!$A$46:$F$120,4,0),""))&amp;""</f>
        <v/>
      </c>
      <c r="M340" s="216" t="str">
        <f>IFERROR(VLOOKUP($I340,'Institution Evaluation'!$A$55:$F$346,6,0),IFERROR(VLOOKUP($I340,'Privacy Analyst Evaluation'!$A$46:$F$120,6,0),""))&amp;""</f>
        <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row>
    <row r="341" spans="1:338" x14ac:dyDescent="0.3">
      <c r="A341" s="216" t="str">
        <f>IFERROR(IF($A340+1&gt;'(backend scoring)'!$T$335,"",$A340+1),"")</f>
        <v/>
      </c>
      <c r="B341" s="216" t="str">
        <f>_xlfn.XLOOKUP($A341,'(backend scoring)'!$V$2:$V$333,'(backend scoring)'!$A$2:$A$333,"")</f>
        <v/>
      </c>
      <c r="C341" s="216" t="str">
        <f>IFERROR(VLOOKUP($B341,'Institution Evaluation'!$A$55:$F$346,2,0),IFERROR(VLOOKUP($B341,'Privacy Analyst Evaluation'!$A$46:$F$120,2,0),""))&amp;""</f>
        <v/>
      </c>
      <c r="D341" s="216" t="str">
        <f>IFERROR(VLOOKUP($B341,'Institution Evaluation'!$A$55:$F$346,3,0),IFERROR(VLOOKUP($B341,'Privacy Analyst Evaluation'!$A$46:$F$120,3,0),""))&amp;""</f>
        <v/>
      </c>
      <c r="E341" s="216" t="str">
        <f>IFERROR(VLOOKUP($B341,'Institution Evaluation'!$A$55:$F$346,4,0),IFERROR(VLOOKUP($B341,'Privacy Analyst Evaluation'!$A$46:$F$120,4,0),""))&amp;""</f>
        <v/>
      </c>
      <c r="F341" s="216" t="str">
        <f>IFERROR(VLOOKUP($B341,'Institution Evaluation'!$A$55:$F$346,6,0),IFERROR(VLOOKUP($B341,'Privacy Analyst Evaluation'!$A$46:$F$120,6,0),""))&amp;""</f>
        <v/>
      </c>
      <c r="G341" s="217"/>
      <c r="H341" s="216" t="str">
        <f>IFERROR(IF($H340+1&gt;'(backend scoring)'!$Q$335,"",$H340+1),"")</f>
        <v/>
      </c>
      <c r="I341" s="216" t="str">
        <f>_xlfn.XLOOKUP($H341,'(backend scoring)'!$S$2:$S$333,'(backend scoring)'!$A$2:$A$333,"")</f>
        <v/>
      </c>
      <c r="J341" s="216" t="str">
        <f>IFERROR(VLOOKUP($I341,'Institution Evaluation'!$A$55:$F$346,2,0),IFERROR(VLOOKUP($I341,'Privacy Analyst Evaluation'!$A$46:$F$120,2,0),""))</f>
        <v/>
      </c>
      <c r="K341" s="216" t="str">
        <f>IFERROR(VLOOKUP($I341,'Institution Evaluation'!$A$55:$F$346,3,0),IFERROR(VLOOKUP($I341,'Privacy Analyst Evaluation'!$A$46:$F$120,3,0),""))&amp;""</f>
        <v/>
      </c>
      <c r="L341" s="216" t="str">
        <f>IFERROR(VLOOKUP($I341,'Institution Evaluation'!$A$55:$F$346,4,0),IFERROR(VLOOKUP($I341,'Privacy Analyst Evaluation'!$A$46:$F$120,4,0),""))&amp;""</f>
        <v/>
      </c>
      <c r="M341" s="216" t="str">
        <f>IFERROR(VLOOKUP($I341,'Institution Evaluation'!$A$55:$F$346,6,0),IFERROR(VLOOKUP($I341,'Privacy Analyst Evaluation'!$A$46:$F$120,6,0),""))&amp;""</f>
        <v/>
      </c>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row>
    <row r="342" spans="1:338" x14ac:dyDescent="0.3">
      <c r="A342" s="216" t="str">
        <f>IFERROR(IF($A341+1&gt;'(backend scoring)'!$T$335,"",$A341+1),"")</f>
        <v/>
      </c>
      <c r="B342" s="216" t="str">
        <f>_xlfn.XLOOKUP($A342,'(backend scoring)'!$V$2:$V$333,'(backend scoring)'!$A$2:$A$333,"")</f>
        <v/>
      </c>
      <c r="C342" s="216" t="str">
        <f>IFERROR(VLOOKUP($B342,'Institution Evaluation'!$A$55:$F$346,2,0),IFERROR(VLOOKUP($B342,'Privacy Analyst Evaluation'!$A$46:$F$120,2,0),""))&amp;""</f>
        <v/>
      </c>
      <c r="D342" s="216" t="str">
        <f>IFERROR(VLOOKUP($B342,'Institution Evaluation'!$A$55:$F$346,3,0),IFERROR(VLOOKUP($B342,'Privacy Analyst Evaluation'!$A$46:$F$120,3,0),""))&amp;""</f>
        <v/>
      </c>
      <c r="E342" s="216" t="str">
        <f>IFERROR(VLOOKUP($B342,'Institution Evaluation'!$A$55:$F$346,4,0),IFERROR(VLOOKUP($B342,'Privacy Analyst Evaluation'!$A$46:$F$120,4,0),""))&amp;""</f>
        <v/>
      </c>
      <c r="F342" s="216" t="str">
        <f>IFERROR(VLOOKUP($B342,'Institution Evaluation'!$A$55:$F$346,6,0),IFERROR(VLOOKUP($B342,'Privacy Analyst Evaluation'!$A$46:$F$120,6,0),""))&amp;""</f>
        <v/>
      </c>
      <c r="G342" s="217"/>
      <c r="H342" s="216" t="str">
        <f>IFERROR(IF($H341+1&gt;'(backend scoring)'!$Q$335,"",$H341+1),"")</f>
        <v/>
      </c>
      <c r="I342" s="216" t="str">
        <f>_xlfn.XLOOKUP($H342,'(backend scoring)'!$S$2:$S$333,'(backend scoring)'!$A$2:$A$333,"")</f>
        <v/>
      </c>
      <c r="J342" s="216" t="str">
        <f>IFERROR(VLOOKUP($I342,'Institution Evaluation'!$A$55:$F$346,2,0),IFERROR(VLOOKUP($I342,'Privacy Analyst Evaluation'!$A$46:$F$120,2,0),""))</f>
        <v/>
      </c>
      <c r="K342" s="216" t="str">
        <f>IFERROR(VLOOKUP($I342,'Institution Evaluation'!$A$55:$F$346,3,0),IFERROR(VLOOKUP($I342,'Privacy Analyst Evaluation'!$A$46:$F$120,3,0),""))&amp;""</f>
        <v/>
      </c>
      <c r="L342" s="216" t="str">
        <f>IFERROR(VLOOKUP($I342,'Institution Evaluation'!$A$55:$F$346,4,0),IFERROR(VLOOKUP($I342,'Privacy Analyst Evaluation'!$A$46:$F$120,4,0),""))&amp;""</f>
        <v/>
      </c>
      <c r="M342" s="216" t="str">
        <f>IFERROR(VLOOKUP($I342,'Institution Evaluation'!$A$55:$F$346,6,0),IFERROR(VLOOKUP($I342,'Privacy Analyst Evaluation'!$A$46:$F$120,6,0),""))&amp;""</f>
        <v/>
      </c>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row>
    <row r="343" spans="1:338" x14ac:dyDescent="0.3">
      <c r="A343" s="216" t="str">
        <f>IFERROR(IF($A342+1&gt;'(backend scoring)'!$T$335,"",$A342+1),"")</f>
        <v/>
      </c>
      <c r="B343" s="216" t="str">
        <f>_xlfn.XLOOKUP($A343,'(backend scoring)'!$V$2:$V$333,'(backend scoring)'!$A$2:$A$333,"")</f>
        <v/>
      </c>
      <c r="C343" s="216" t="str">
        <f>IFERROR(VLOOKUP($B343,'Institution Evaluation'!$A$55:$F$346,2,0),IFERROR(VLOOKUP($B343,'Privacy Analyst Evaluation'!$A$46:$F$120,2,0),""))&amp;""</f>
        <v/>
      </c>
      <c r="D343" s="216" t="str">
        <f>IFERROR(VLOOKUP($B343,'Institution Evaluation'!$A$55:$F$346,3,0),IFERROR(VLOOKUP($B343,'Privacy Analyst Evaluation'!$A$46:$F$120,3,0),""))&amp;""</f>
        <v/>
      </c>
      <c r="E343" s="216" t="str">
        <f>IFERROR(VLOOKUP($B343,'Institution Evaluation'!$A$55:$F$346,4,0),IFERROR(VLOOKUP($B343,'Privacy Analyst Evaluation'!$A$46:$F$120,4,0),""))&amp;""</f>
        <v/>
      </c>
      <c r="F343" s="216" t="str">
        <f>IFERROR(VLOOKUP($B343,'Institution Evaluation'!$A$55:$F$346,6,0),IFERROR(VLOOKUP($B343,'Privacy Analyst Evaluation'!$A$46:$F$120,6,0),""))&amp;""</f>
        <v/>
      </c>
      <c r="G343" s="217"/>
      <c r="H343" s="216" t="str">
        <f>IFERROR(IF($H342+1&gt;'(backend scoring)'!$Q$335,"",$H342+1),"")</f>
        <v/>
      </c>
      <c r="I343" s="216" t="str">
        <f>_xlfn.XLOOKUP($H343,'(backend scoring)'!$S$2:$S$333,'(backend scoring)'!$A$2:$A$333,"")</f>
        <v/>
      </c>
      <c r="J343" s="216" t="str">
        <f>IFERROR(VLOOKUP($I343,'Institution Evaluation'!$A$55:$F$346,2,0),IFERROR(VLOOKUP($I343,'Privacy Analyst Evaluation'!$A$46:$F$120,2,0),""))</f>
        <v/>
      </c>
      <c r="K343" s="216" t="str">
        <f>IFERROR(VLOOKUP($I343,'Institution Evaluation'!$A$55:$F$346,3,0),IFERROR(VLOOKUP($I343,'Privacy Analyst Evaluation'!$A$46:$F$120,3,0),""))&amp;""</f>
        <v/>
      </c>
      <c r="L343" s="216" t="str">
        <f>IFERROR(VLOOKUP($I343,'Institution Evaluation'!$A$55:$F$346,4,0),IFERROR(VLOOKUP($I343,'Privacy Analyst Evaluation'!$A$46:$F$120,4,0),""))&amp;""</f>
        <v/>
      </c>
      <c r="M343" s="216" t="str">
        <f>IFERROR(VLOOKUP($I343,'Institution Evaluation'!$A$55:$F$346,6,0),IFERROR(VLOOKUP($I343,'Privacy Analyst Evaluation'!$A$46:$F$120,6,0),""))&amp;""</f>
        <v/>
      </c>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row>
    <row r="344" spans="1:338" x14ac:dyDescent="0.3">
      <c r="A344" s="216" t="str">
        <f>IFERROR(IF($A343+1&gt;'(backend scoring)'!$T$335,"",$A343+1),"")</f>
        <v/>
      </c>
      <c r="B344" s="216" t="str">
        <f>_xlfn.XLOOKUP($A344,'(backend scoring)'!$V$2:$V$333,'(backend scoring)'!$A$2:$A$333,"")</f>
        <v/>
      </c>
      <c r="C344" s="216" t="str">
        <f>IFERROR(VLOOKUP($B344,'Institution Evaluation'!$A$55:$F$346,2,0),IFERROR(VLOOKUP($B344,'Privacy Analyst Evaluation'!$A$46:$F$120,2,0),""))&amp;""</f>
        <v/>
      </c>
      <c r="D344" s="216" t="str">
        <f>IFERROR(VLOOKUP($B344,'Institution Evaluation'!$A$55:$F$346,3,0),IFERROR(VLOOKUP($B344,'Privacy Analyst Evaluation'!$A$46:$F$120,3,0),""))&amp;""</f>
        <v/>
      </c>
      <c r="E344" s="216" t="str">
        <f>IFERROR(VLOOKUP($B344,'Institution Evaluation'!$A$55:$F$346,4,0),IFERROR(VLOOKUP($B344,'Privacy Analyst Evaluation'!$A$46:$F$120,4,0),""))&amp;""</f>
        <v/>
      </c>
      <c r="F344" s="216" t="str">
        <f>IFERROR(VLOOKUP($B344,'Institution Evaluation'!$A$55:$F$346,6,0),IFERROR(VLOOKUP($B344,'Privacy Analyst Evaluation'!$A$46:$F$120,6,0),""))&amp;""</f>
        <v/>
      </c>
      <c r="G344" s="217"/>
      <c r="H344" s="216" t="str">
        <f>IFERROR(IF($H343+1&gt;'(backend scoring)'!$Q$335,"",$H343+1),"")</f>
        <v/>
      </c>
      <c r="I344" s="216" t="str">
        <f>_xlfn.XLOOKUP($H344,'(backend scoring)'!$S$2:$S$333,'(backend scoring)'!$A$2:$A$333,"")</f>
        <v/>
      </c>
      <c r="J344" s="216" t="str">
        <f>IFERROR(VLOOKUP($I344,'Institution Evaluation'!$A$55:$F$346,2,0),IFERROR(VLOOKUP($I344,'Privacy Analyst Evaluation'!$A$46:$F$120,2,0),""))</f>
        <v/>
      </c>
      <c r="K344" s="216" t="str">
        <f>IFERROR(VLOOKUP($I344,'Institution Evaluation'!$A$55:$F$346,3,0),IFERROR(VLOOKUP($I344,'Privacy Analyst Evaluation'!$A$46:$F$120,3,0),""))&amp;""</f>
        <v/>
      </c>
      <c r="L344" s="216" t="str">
        <f>IFERROR(VLOOKUP($I344,'Institution Evaluation'!$A$55:$F$346,4,0),IFERROR(VLOOKUP($I344,'Privacy Analyst Evaluation'!$A$46:$F$120,4,0),""))&amp;""</f>
        <v/>
      </c>
      <c r="M344" s="216" t="str">
        <f>IFERROR(VLOOKUP($I344,'Institution Evaluation'!$A$55:$F$346,6,0),IFERROR(VLOOKUP($I344,'Privacy Analyst Evaluation'!$A$46:$F$120,6,0),""))&amp;""</f>
        <v/>
      </c>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row>
    <row r="345" spans="1:338" x14ac:dyDescent="0.3">
      <c r="A345" s="216" t="str">
        <f>IFERROR(IF($A344+1&gt;'(backend scoring)'!$T$335,"",$A344+1),"")</f>
        <v/>
      </c>
      <c r="B345" s="216" t="str">
        <f>_xlfn.XLOOKUP($A345,'(backend scoring)'!$V$2:$V$333,'(backend scoring)'!$A$2:$A$333,"")</f>
        <v/>
      </c>
      <c r="C345" s="216" t="str">
        <f>IFERROR(VLOOKUP($B345,'Institution Evaluation'!$A$55:$F$346,2,0),IFERROR(VLOOKUP($B345,'Privacy Analyst Evaluation'!$A$46:$F$120,2,0),""))&amp;""</f>
        <v/>
      </c>
      <c r="D345" s="216" t="str">
        <f>IFERROR(VLOOKUP($B345,'Institution Evaluation'!$A$55:$F$346,3,0),IFERROR(VLOOKUP($B345,'Privacy Analyst Evaluation'!$A$46:$F$120,3,0),""))&amp;""</f>
        <v/>
      </c>
      <c r="E345" s="216" t="str">
        <f>IFERROR(VLOOKUP($B345,'Institution Evaluation'!$A$55:$F$346,4,0),IFERROR(VLOOKUP($B345,'Privacy Analyst Evaluation'!$A$46:$F$120,4,0),""))&amp;""</f>
        <v/>
      </c>
      <c r="F345" s="216" t="str">
        <f>IFERROR(VLOOKUP($B345,'Institution Evaluation'!$A$55:$F$346,6,0),IFERROR(VLOOKUP($B345,'Privacy Analyst Evaluation'!$A$46:$F$120,6,0),""))&amp;""</f>
        <v/>
      </c>
      <c r="G345" s="217"/>
      <c r="H345" s="216" t="str">
        <f>IFERROR(IF($H344+1&gt;'(backend scoring)'!$Q$335,"",$H344+1),"")</f>
        <v/>
      </c>
      <c r="I345" s="216" t="str">
        <f>_xlfn.XLOOKUP($H345,'(backend scoring)'!$S$2:$S$333,'(backend scoring)'!$A$2:$A$333,"")</f>
        <v/>
      </c>
      <c r="J345" s="216" t="str">
        <f>IFERROR(VLOOKUP($I345,'Institution Evaluation'!$A$55:$F$346,2,0),IFERROR(VLOOKUP($I345,'Privacy Analyst Evaluation'!$A$46:$F$120,2,0),""))</f>
        <v/>
      </c>
      <c r="K345" s="216" t="str">
        <f>IFERROR(VLOOKUP($I345,'Institution Evaluation'!$A$55:$F$346,3,0),IFERROR(VLOOKUP($I345,'Privacy Analyst Evaluation'!$A$46:$F$120,3,0),""))&amp;""</f>
        <v/>
      </c>
      <c r="L345" s="216" t="str">
        <f>IFERROR(VLOOKUP($I345,'Institution Evaluation'!$A$55:$F$346,4,0),IFERROR(VLOOKUP($I345,'Privacy Analyst Evaluation'!$A$46:$F$120,4,0),""))&amp;""</f>
        <v/>
      </c>
      <c r="M345" s="216" t="str">
        <f>IFERROR(VLOOKUP($I345,'Institution Evaluation'!$A$55:$F$346,6,0),IFERROR(VLOOKUP($I345,'Privacy Analyst Evaluation'!$A$46:$F$120,6,0),""))&amp;""</f>
        <v/>
      </c>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row>
    <row r="346" spans="1:338" x14ac:dyDescent="0.3">
      <c r="A346" s="216" t="str">
        <f>IFERROR(IF($A345+1&gt;'(backend scoring)'!$T$335,"",$A345+1),"")</f>
        <v/>
      </c>
      <c r="B346" s="216" t="str">
        <f>_xlfn.XLOOKUP($A346,'(backend scoring)'!$V$2:$V$333,'(backend scoring)'!$A$2:$A$333,"")</f>
        <v/>
      </c>
      <c r="C346" s="216" t="str">
        <f>IFERROR(VLOOKUP($B346,'Institution Evaluation'!$A$55:$F$346,2,0),IFERROR(VLOOKUP($B346,'Privacy Analyst Evaluation'!$A$46:$F$120,2,0),""))&amp;""</f>
        <v/>
      </c>
      <c r="D346" s="216" t="str">
        <f>IFERROR(VLOOKUP($B346,'Institution Evaluation'!$A$55:$F$346,3,0),IFERROR(VLOOKUP($B346,'Privacy Analyst Evaluation'!$A$46:$F$120,3,0),""))&amp;""</f>
        <v/>
      </c>
      <c r="E346" s="216" t="str">
        <f>IFERROR(VLOOKUP($B346,'Institution Evaluation'!$A$55:$F$346,4,0),IFERROR(VLOOKUP($B346,'Privacy Analyst Evaluation'!$A$46:$F$120,4,0),""))&amp;""</f>
        <v/>
      </c>
      <c r="F346" s="216" t="str">
        <f>IFERROR(VLOOKUP($B346,'Institution Evaluation'!$A$55:$F$346,6,0),IFERROR(VLOOKUP($B346,'Privacy Analyst Evaluation'!$A$46:$F$120,6,0),""))&amp;""</f>
        <v/>
      </c>
      <c r="G346" s="217"/>
      <c r="H346" s="216" t="str">
        <f>IFERROR(IF($H345+1&gt;'(backend scoring)'!$Q$335,"",$H345+1),"")</f>
        <v/>
      </c>
      <c r="I346" s="216" t="str">
        <f>_xlfn.XLOOKUP($H346,'(backend scoring)'!$S$2:$S$333,'(backend scoring)'!$A$2:$A$333,"")</f>
        <v/>
      </c>
      <c r="J346" s="216" t="str">
        <f>IFERROR(VLOOKUP($I346,'Institution Evaluation'!$A$55:$F$346,2,0),IFERROR(VLOOKUP($I346,'Privacy Analyst Evaluation'!$A$46:$F$120,2,0),""))</f>
        <v/>
      </c>
      <c r="K346" s="216" t="str">
        <f>IFERROR(VLOOKUP($I346,'Institution Evaluation'!$A$55:$F$346,3,0),IFERROR(VLOOKUP($I346,'Privacy Analyst Evaluation'!$A$46:$F$120,3,0),""))&amp;""</f>
        <v/>
      </c>
      <c r="L346" s="216" t="str">
        <f>IFERROR(VLOOKUP($I346,'Institution Evaluation'!$A$55:$F$346,4,0),IFERROR(VLOOKUP($I346,'Privacy Analyst Evaluation'!$A$46:$F$120,4,0),""))&amp;""</f>
        <v/>
      </c>
      <c r="M346" s="216" t="str">
        <f>IFERROR(VLOOKUP($I346,'Institution Evaluation'!$A$55:$F$346,6,0),IFERROR(VLOOKUP($I346,'Privacy Analyst Evaluation'!$A$46:$F$120,6,0),""))&amp;""</f>
        <v/>
      </c>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row>
    <row r="347" spans="1:338" x14ac:dyDescent="0.3">
      <c r="A347" s="216" t="str">
        <f>IFERROR(IF($A346+1&gt;'(backend scoring)'!$T$335,"",$A346+1),"")</f>
        <v/>
      </c>
      <c r="B347" s="216" t="str">
        <f>_xlfn.XLOOKUP($A347,'(backend scoring)'!$V$2:$V$333,'(backend scoring)'!$A$2:$A$333,"")</f>
        <v/>
      </c>
      <c r="C347" s="216" t="str">
        <f>IFERROR(VLOOKUP($B347,'Institution Evaluation'!$A$55:$F$346,2,0),IFERROR(VLOOKUP($B347,'Privacy Analyst Evaluation'!$A$46:$F$120,2,0),""))&amp;""</f>
        <v/>
      </c>
      <c r="D347" s="216" t="str">
        <f>IFERROR(VLOOKUP($B347,'Institution Evaluation'!$A$55:$F$346,3,0),IFERROR(VLOOKUP($B347,'Privacy Analyst Evaluation'!$A$46:$F$120,3,0),""))&amp;""</f>
        <v/>
      </c>
      <c r="E347" s="216" t="str">
        <f>IFERROR(VLOOKUP($B347,'Institution Evaluation'!$A$55:$F$346,4,0),IFERROR(VLOOKUP($B347,'Privacy Analyst Evaluation'!$A$46:$F$120,4,0),""))&amp;""</f>
        <v/>
      </c>
      <c r="F347" s="216" t="str">
        <f>IFERROR(VLOOKUP($B347,'Institution Evaluation'!$A$55:$F$346,6,0),IFERROR(VLOOKUP($B347,'Privacy Analyst Evaluation'!$A$46:$F$120,6,0),""))&amp;""</f>
        <v/>
      </c>
      <c r="G347" s="217"/>
      <c r="H347" s="216" t="str">
        <f>IFERROR(IF($H346+1&gt;'(backend scoring)'!$Q$335,"",$H346+1),"")</f>
        <v/>
      </c>
      <c r="I347" s="216" t="str">
        <f>_xlfn.XLOOKUP($H347,'(backend scoring)'!$S$2:$S$333,'(backend scoring)'!$A$2:$A$333,"")</f>
        <v/>
      </c>
      <c r="J347" s="216" t="str">
        <f>IFERROR(VLOOKUP($I347,'Institution Evaluation'!$A$55:$F$346,2,0),IFERROR(VLOOKUP($I347,'Privacy Analyst Evaluation'!$A$46:$F$120,2,0),""))</f>
        <v/>
      </c>
      <c r="K347" s="216" t="str">
        <f>IFERROR(VLOOKUP($I347,'Institution Evaluation'!$A$55:$F$346,3,0),IFERROR(VLOOKUP($I347,'Privacy Analyst Evaluation'!$A$46:$F$120,3,0),""))&amp;""</f>
        <v/>
      </c>
      <c r="L347" s="216" t="str">
        <f>IFERROR(VLOOKUP($I347,'Institution Evaluation'!$A$55:$F$346,4,0),IFERROR(VLOOKUP($I347,'Privacy Analyst Evaluation'!$A$46:$F$120,4,0),""))&amp;""</f>
        <v/>
      </c>
      <c r="M347" s="216" t="str">
        <f>IFERROR(VLOOKUP($I347,'Institution Evaluation'!$A$55:$F$346,6,0),IFERROR(VLOOKUP($I347,'Privacy Analyst Evaluation'!$A$46:$F$120,6,0),""))&amp;""</f>
        <v/>
      </c>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row>
    <row r="348" spans="1:338" x14ac:dyDescent="0.3">
      <c r="A348" s="216" t="str">
        <f>IFERROR(IF($A347+1&gt;'(backend scoring)'!$T$335,"",$A347+1),"")</f>
        <v/>
      </c>
      <c r="B348" s="216" t="str">
        <f>_xlfn.XLOOKUP($A348,'(backend scoring)'!$V$2:$V$333,'(backend scoring)'!$A$2:$A$333,"")</f>
        <v/>
      </c>
      <c r="C348" s="216" t="str">
        <f>IFERROR(VLOOKUP($B348,'Institution Evaluation'!$A$55:$F$346,2,0),IFERROR(VLOOKUP($B348,'Privacy Analyst Evaluation'!$A$46:$F$120,2,0),""))&amp;""</f>
        <v/>
      </c>
      <c r="D348" s="216" t="str">
        <f>IFERROR(VLOOKUP($B348,'Institution Evaluation'!$A$55:$F$346,3,0),IFERROR(VLOOKUP($B348,'Privacy Analyst Evaluation'!$A$46:$F$120,3,0),""))&amp;""</f>
        <v/>
      </c>
      <c r="E348" s="216" t="str">
        <f>IFERROR(VLOOKUP($B348,'Institution Evaluation'!$A$55:$F$346,4,0),IFERROR(VLOOKUP($B348,'Privacy Analyst Evaluation'!$A$46:$F$120,4,0),""))&amp;""</f>
        <v/>
      </c>
      <c r="F348" s="216" t="str">
        <f>IFERROR(VLOOKUP($B348,'Institution Evaluation'!$A$55:$F$346,6,0),IFERROR(VLOOKUP($B348,'Privacy Analyst Evaluation'!$A$46:$F$120,6,0),""))&amp;""</f>
        <v/>
      </c>
      <c r="G348" s="217"/>
      <c r="H348" s="216" t="str">
        <f>IFERROR(IF($H347+1&gt;'(backend scoring)'!$Q$335,"",$H347+1),"")</f>
        <v/>
      </c>
      <c r="I348" s="216" t="str">
        <f>_xlfn.XLOOKUP($H348,'(backend scoring)'!$S$2:$S$333,'(backend scoring)'!$A$2:$A$333,"")</f>
        <v/>
      </c>
      <c r="J348" s="216" t="str">
        <f>IFERROR(VLOOKUP($I348,'Institution Evaluation'!$A$55:$F$346,2,0),IFERROR(VLOOKUP($I348,'Privacy Analyst Evaluation'!$A$46:$F$120,2,0),""))</f>
        <v/>
      </c>
      <c r="K348" s="216" t="str">
        <f>IFERROR(VLOOKUP($I348,'Institution Evaluation'!$A$55:$F$346,3,0),IFERROR(VLOOKUP($I348,'Privacy Analyst Evaluation'!$A$46:$F$120,3,0),""))&amp;""</f>
        <v/>
      </c>
      <c r="L348" s="216" t="str">
        <f>IFERROR(VLOOKUP($I348,'Institution Evaluation'!$A$55:$F$346,4,0),IFERROR(VLOOKUP($I348,'Privacy Analyst Evaluation'!$A$46:$F$120,4,0),""))&amp;""</f>
        <v/>
      </c>
      <c r="M348" s="216" t="str">
        <f>IFERROR(VLOOKUP($I348,'Institution Evaluation'!$A$55:$F$346,6,0),IFERROR(VLOOKUP($I348,'Privacy Analyst Evaluation'!$A$46:$F$120,6,0),""))&amp;""</f>
        <v/>
      </c>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row>
    <row r="349" spans="1:338" x14ac:dyDescent="0.3">
      <c r="A349" s="216" t="str">
        <f>IFERROR(IF($A348+1&gt;'(backend scoring)'!$T$335,"",$A348+1),"")</f>
        <v/>
      </c>
      <c r="B349" s="216" t="str">
        <f>_xlfn.XLOOKUP($A349,'(backend scoring)'!$V$2:$V$333,'(backend scoring)'!$A$2:$A$333,"")</f>
        <v/>
      </c>
      <c r="C349" s="216" t="str">
        <f>IFERROR(VLOOKUP($B349,'Institution Evaluation'!$A$55:$F$346,2,0),IFERROR(VLOOKUP($B349,'Privacy Analyst Evaluation'!$A$46:$F$120,2,0),""))&amp;""</f>
        <v/>
      </c>
      <c r="D349" s="216" t="str">
        <f>IFERROR(VLOOKUP($B349,'Institution Evaluation'!$A$55:$F$346,3,0),IFERROR(VLOOKUP($B349,'Privacy Analyst Evaluation'!$A$46:$F$120,3,0),""))&amp;""</f>
        <v/>
      </c>
      <c r="E349" s="216" t="str">
        <f>IFERROR(VLOOKUP($B349,'Institution Evaluation'!$A$55:$F$346,4,0),IFERROR(VLOOKUP($B349,'Privacy Analyst Evaluation'!$A$46:$F$120,4,0),""))&amp;""</f>
        <v/>
      </c>
      <c r="F349" s="216" t="str">
        <f>IFERROR(VLOOKUP($B349,'Institution Evaluation'!$A$55:$F$346,6,0),IFERROR(VLOOKUP($B349,'Privacy Analyst Evaluation'!$A$46:$F$120,6,0),""))&amp;""</f>
        <v/>
      </c>
      <c r="G349" s="217"/>
      <c r="H349" s="216" t="str">
        <f>IFERROR(IF($H348+1&gt;'(backend scoring)'!$Q$335,"",$H348+1),"")</f>
        <v/>
      </c>
      <c r="I349" s="216" t="str">
        <f>_xlfn.XLOOKUP($H349,'(backend scoring)'!$S$2:$S$333,'(backend scoring)'!$A$2:$A$333,"")</f>
        <v/>
      </c>
      <c r="J349" s="216" t="str">
        <f>IFERROR(VLOOKUP($I349,'Institution Evaluation'!$A$55:$F$346,2,0),IFERROR(VLOOKUP($I349,'Privacy Analyst Evaluation'!$A$46:$F$120,2,0),""))</f>
        <v/>
      </c>
      <c r="K349" s="216" t="str">
        <f>IFERROR(VLOOKUP($I349,'Institution Evaluation'!$A$55:$F$346,3,0),IFERROR(VLOOKUP($I349,'Privacy Analyst Evaluation'!$A$46:$F$120,3,0),""))&amp;""</f>
        <v/>
      </c>
      <c r="L349" s="216" t="str">
        <f>IFERROR(VLOOKUP($I349,'Institution Evaluation'!$A$55:$F$346,4,0),IFERROR(VLOOKUP($I349,'Privacy Analyst Evaluation'!$A$46:$F$120,4,0),""))&amp;""</f>
        <v/>
      </c>
      <c r="M349" s="216" t="str">
        <f>IFERROR(VLOOKUP($I349,'Institution Evaluation'!$A$55:$F$346,6,0),IFERROR(VLOOKUP($I349,'Privacy Analyst Evaluation'!$A$46:$F$120,6,0),""))&amp;""</f>
        <v/>
      </c>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row>
    <row r="350" spans="1:338" x14ac:dyDescent="0.3">
      <c r="A350" s="216" t="str">
        <f>IFERROR(IF($A349+1&gt;'(backend scoring)'!$T$335,"",$A349+1),"")</f>
        <v/>
      </c>
      <c r="B350" s="216" t="str">
        <f>_xlfn.XLOOKUP($A350,'(backend scoring)'!$V$2:$V$333,'(backend scoring)'!$A$2:$A$333,"")</f>
        <v/>
      </c>
      <c r="C350" s="216" t="str">
        <f>IFERROR(VLOOKUP($B350,'Institution Evaluation'!$A$55:$F$346,2,0),IFERROR(VLOOKUP($B350,'Privacy Analyst Evaluation'!$A$46:$F$120,2,0),""))&amp;""</f>
        <v/>
      </c>
      <c r="D350" s="216" t="str">
        <f>IFERROR(VLOOKUP($B350,'Institution Evaluation'!$A$55:$F$346,3,0),IFERROR(VLOOKUP($B350,'Privacy Analyst Evaluation'!$A$46:$F$120,3,0),""))&amp;""</f>
        <v/>
      </c>
      <c r="E350" s="216" t="str">
        <f>IFERROR(VLOOKUP($B350,'Institution Evaluation'!$A$55:$F$346,4,0),IFERROR(VLOOKUP($B350,'Privacy Analyst Evaluation'!$A$46:$F$120,4,0),""))&amp;""</f>
        <v/>
      </c>
      <c r="F350" s="216" t="str">
        <f>IFERROR(VLOOKUP($B350,'Institution Evaluation'!$A$55:$F$346,6,0),IFERROR(VLOOKUP($B350,'Privacy Analyst Evaluation'!$A$46:$F$120,6,0),""))&amp;""</f>
        <v/>
      </c>
      <c r="G350" s="217"/>
      <c r="H350" s="216" t="str">
        <f>IFERROR(IF($H349+1&gt;'(backend scoring)'!$Q$335,"",$H349+1),"")</f>
        <v/>
      </c>
      <c r="I350" s="216" t="str">
        <f>_xlfn.XLOOKUP($H350,'(backend scoring)'!$S$2:$S$333,'(backend scoring)'!$A$2:$A$333,"")</f>
        <v/>
      </c>
      <c r="J350" s="216" t="str">
        <f>IFERROR(VLOOKUP($I350,'Institution Evaluation'!$A$55:$F$346,2,0),IFERROR(VLOOKUP($I350,'Privacy Analyst Evaluation'!$A$46:$F$120,2,0),""))</f>
        <v/>
      </c>
      <c r="K350" s="216" t="str">
        <f>IFERROR(VLOOKUP($I350,'Institution Evaluation'!$A$55:$F$346,3,0),IFERROR(VLOOKUP($I350,'Privacy Analyst Evaluation'!$A$46:$F$120,3,0),""))&amp;""</f>
        <v/>
      </c>
      <c r="L350" s="216" t="str">
        <f>IFERROR(VLOOKUP($I350,'Institution Evaluation'!$A$55:$F$346,4,0),IFERROR(VLOOKUP($I350,'Privacy Analyst Evaluation'!$A$46:$F$120,4,0),""))&amp;""</f>
        <v/>
      </c>
      <c r="M350" s="216" t="str">
        <f>IFERROR(VLOOKUP($I350,'Institution Evaluation'!$A$55:$F$346,6,0),IFERROR(VLOOKUP($I350,'Privacy Analyst Evaluation'!$A$46:$F$120,6,0),""))&amp;""</f>
        <v/>
      </c>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row>
    <row r="351" spans="1:338" x14ac:dyDescent="0.3">
      <c r="A351" s="216" t="str">
        <f>IFERROR(IF($A350+1&gt;'(backend scoring)'!$T$335,"",$A350+1),"")</f>
        <v/>
      </c>
      <c r="B351" s="216" t="str">
        <f>_xlfn.XLOOKUP($A351,'(backend scoring)'!$V$2:$V$333,'(backend scoring)'!$A$2:$A$333,"")</f>
        <v/>
      </c>
      <c r="C351" s="216" t="str">
        <f>IFERROR(VLOOKUP($B351,'Institution Evaluation'!$A$55:$F$346,2,0),IFERROR(VLOOKUP($B351,'Privacy Analyst Evaluation'!$A$46:$F$120,2,0),""))&amp;""</f>
        <v/>
      </c>
      <c r="D351" s="216" t="str">
        <f>IFERROR(VLOOKUP($B351,'Institution Evaluation'!$A$55:$F$346,3,0),IFERROR(VLOOKUP($B351,'Privacy Analyst Evaluation'!$A$46:$F$120,3,0),""))&amp;""</f>
        <v/>
      </c>
      <c r="E351" s="216" t="str">
        <f>IFERROR(VLOOKUP($B351,'Institution Evaluation'!$A$55:$F$346,4,0),IFERROR(VLOOKUP($B351,'Privacy Analyst Evaluation'!$A$46:$F$120,4,0),""))&amp;""</f>
        <v/>
      </c>
      <c r="F351" s="216" t="str">
        <f>IFERROR(VLOOKUP($B351,'Institution Evaluation'!$A$55:$F$346,6,0),IFERROR(VLOOKUP($B351,'Privacy Analyst Evaluation'!$A$46:$F$120,6,0),""))&amp;""</f>
        <v/>
      </c>
      <c r="G351" s="217"/>
      <c r="H351" s="216" t="str">
        <f>IFERROR(IF($H350+1&gt;'(backend scoring)'!$Q$335,"",$H350+1),"")</f>
        <v/>
      </c>
      <c r="I351" s="216" t="str">
        <f>_xlfn.XLOOKUP($H351,'(backend scoring)'!$S$2:$S$333,'(backend scoring)'!$A$2:$A$333,"")</f>
        <v/>
      </c>
      <c r="J351" s="216" t="str">
        <f>IFERROR(VLOOKUP($I351,'Institution Evaluation'!$A$55:$F$346,2,0),IFERROR(VLOOKUP($I351,'Privacy Analyst Evaluation'!$A$46:$F$120,2,0),""))</f>
        <v/>
      </c>
      <c r="K351" s="216" t="str">
        <f>IFERROR(VLOOKUP($I351,'Institution Evaluation'!$A$55:$F$346,3,0),IFERROR(VLOOKUP($I351,'Privacy Analyst Evaluation'!$A$46:$F$120,3,0),""))&amp;""</f>
        <v/>
      </c>
      <c r="L351" s="216" t="str">
        <f>IFERROR(VLOOKUP($I351,'Institution Evaluation'!$A$55:$F$346,4,0),IFERROR(VLOOKUP($I351,'Privacy Analyst Evaluation'!$A$46:$F$120,4,0),""))&amp;""</f>
        <v/>
      </c>
      <c r="M351" s="216" t="str">
        <f>IFERROR(VLOOKUP($I351,'Institution Evaluation'!$A$55:$F$346,6,0),IFERROR(VLOOKUP($I351,'Privacy Analyst Evaluation'!$A$46:$F$120,6,0),""))&amp;""</f>
        <v/>
      </c>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row>
    <row r="352" spans="1:338" x14ac:dyDescent="0.3">
      <c r="A352" s="216" t="str">
        <f>IFERROR(IF($A351+1&gt;'(backend scoring)'!$T$335,"",$A351+1),"")</f>
        <v/>
      </c>
      <c r="B352" s="216" t="str">
        <f>_xlfn.XLOOKUP($A352,'(backend scoring)'!$V$2:$V$333,'(backend scoring)'!$A$2:$A$333,"")</f>
        <v/>
      </c>
      <c r="C352" s="216" t="str">
        <f>IFERROR(VLOOKUP($B352,'Institution Evaluation'!$A$55:$F$346,2,0),IFERROR(VLOOKUP($B352,'Privacy Analyst Evaluation'!$A$46:$F$120,2,0),""))&amp;""</f>
        <v/>
      </c>
      <c r="D352" s="216" t="str">
        <f>IFERROR(VLOOKUP($B352,'Institution Evaluation'!$A$55:$F$346,3,0),IFERROR(VLOOKUP($B352,'Privacy Analyst Evaluation'!$A$46:$F$120,3,0),""))&amp;""</f>
        <v/>
      </c>
      <c r="E352" s="216" t="str">
        <f>IFERROR(VLOOKUP($B352,'Institution Evaluation'!$A$55:$F$346,4,0),IFERROR(VLOOKUP($B352,'Privacy Analyst Evaluation'!$A$46:$F$120,4,0),""))&amp;""</f>
        <v/>
      </c>
      <c r="F352" s="216" t="str">
        <f>IFERROR(VLOOKUP($B352,'Institution Evaluation'!$A$55:$F$346,6,0),IFERROR(VLOOKUP($B352,'Privacy Analyst Evaluation'!$A$46:$F$120,6,0),""))&amp;""</f>
        <v/>
      </c>
      <c r="G352" s="217"/>
      <c r="H352" s="216" t="str">
        <f>IFERROR(IF($H351+1&gt;'(backend scoring)'!$Q$335,"",$H351+1),"")</f>
        <v/>
      </c>
      <c r="I352" s="216" t="str">
        <f>_xlfn.XLOOKUP($H352,'(backend scoring)'!$S$2:$S$333,'(backend scoring)'!$A$2:$A$333,"")</f>
        <v/>
      </c>
      <c r="J352" s="216" t="str">
        <f>IFERROR(VLOOKUP($I352,'Institution Evaluation'!$A$55:$F$346,2,0),IFERROR(VLOOKUP($I352,'Privacy Analyst Evaluation'!$A$46:$F$120,2,0),""))</f>
        <v/>
      </c>
      <c r="K352" s="216" t="str">
        <f>IFERROR(VLOOKUP($I352,'Institution Evaluation'!$A$55:$F$346,3,0),IFERROR(VLOOKUP($I352,'Privacy Analyst Evaluation'!$A$46:$F$120,3,0),""))&amp;""</f>
        <v/>
      </c>
      <c r="L352" s="216" t="str">
        <f>IFERROR(VLOOKUP($I352,'Institution Evaluation'!$A$55:$F$346,4,0),IFERROR(VLOOKUP($I352,'Privacy Analyst Evaluation'!$A$46:$F$120,4,0),""))&amp;""</f>
        <v/>
      </c>
      <c r="M352" s="216" t="str">
        <f>IFERROR(VLOOKUP($I352,'Institution Evaluation'!$A$55:$F$346,6,0),IFERROR(VLOOKUP($I352,'Privacy Analyst Evaluation'!$A$46:$F$120,6,0),""))&amp;""</f>
        <v/>
      </c>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row>
    <row r="353" spans="1:338" x14ac:dyDescent="0.3">
      <c r="A353" s="216" t="str">
        <f>IFERROR(IF($A352+1&gt;'(backend scoring)'!$T$335,"",$A352+1),"")</f>
        <v/>
      </c>
      <c r="B353" s="216" t="str">
        <f>_xlfn.XLOOKUP($A353,'(backend scoring)'!$V$2:$V$333,'(backend scoring)'!$A$2:$A$333,"")</f>
        <v/>
      </c>
      <c r="C353" s="216" t="str">
        <f>IFERROR(VLOOKUP($B353,'Institution Evaluation'!$A$55:$F$346,2,0),IFERROR(VLOOKUP($B353,'Privacy Analyst Evaluation'!$A$46:$F$120,2,0),""))&amp;""</f>
        <v/>
      </c>
      <c r="D353" s="216" t="str">
        <f>IFERROR(VLOOKUP($B353,'Institution Evaluation'!$A$55:$F$346,3,0),IFERROR(VLOOKUP($B353,'Privacy Analyst Evaluation'!$A$46:$F$120,3,0),""))&amp;""</f>
        <v/>
      </c>
      <c r="E353" s="216" t="str">
        <f>IFERROR(VLOOKUP($B353,'Institution Evaluation'!$A$55:$F$346,4,0),IFERROR(VLOOKUP($B353,'Privacy Analyst Evaluation'!$A$46:$F$120,4,0),""))&amp;""</f>
        <v/>
      </c>
      <c r="F353" s="216" t="str">
        <f>IFERROR(VLOOKUP($B353,'Institution Evaluation'!$A$55:$F$346,6,0),IFERROR(VLOOKUP($B353,'Privacy Analyst Evaluation'!$A$46:$F$120,6,0),""))&amp;""</f>
        <v/>
      </c>
      <c r="G353" s="217"/>
      <c r="H353" s="216" t="str">
        <f>IFERROR(IF($H352+1&gt;'(backend scoring)'!$Q$335,"",$H352+1),"")</f>
        <v/>
      </c>
      <c r="I353" s="216" t="str">
        <f>_xlfn.XLOOKUP($H353,'(backend scoring)'!$S$2:$S$333,'(backend scoring)'!$A$2:$A$333,"")</f>
        <v/>
      </c>
      <c r="J353" s="216" t="str">
        <f>IFERROR(VLOOKUP($I353,'Institution Evaluation'!$A$55:$F$346,2,0),IFERROR(VLOOKUP($I353,'Privacy Analyst Evaluation'!$A$46:$F$120,2,0),""))</f>
        <v/>
      </c>
      <c r="K353" s="216" t="str">
        <f>IFERROR(VLOOKUP($I353,'Institution Evaluation'!$A$55:$F$346,3,0),IFERROR(VLOOKUP($I353,'Privacy Analyst Evaluation'!$A$46:$F$120,3,0),""))&amp;""</f>
        <v/>
      </c>
      <c r="L353" s="216" t="str">
        <f>IFERROR(VLOOKUP($I353,'Institution Evaluation'!$A$55:$F$346,4,0),IFERROR(VLOOKUP($I353,'Privacy Analyst Evaluation'!$A$46:$F$120,4,0),""))&amp;""</f>
        <v/>
      </c>
      <c r="M353" s="216" t="str">
        <f>IFERROR(VLOOKUP($I353,'Institution Evaluation'!$A$55:$F$346,6,0),IFERROR(VLOOKUP($I353,'Privacy Analyst Evaluation'!$A$46:$F$120,6,0),""))&amp;""</f>
        <v/>
      </c>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row>
    <row r="354" spans="1:338" x14ac:dyDescent="0.3">
      <c r="A354" s="216" t="str">
        <f>IFERROR(IF($A353+1&gt;'(backend scoring)'!$T$335,"",$A353+1),"")</f>
        <v/>
      </c>
      <c r="B354" s="216" t="str">
        <f>_xlfn.XLOOKUP($A354,'(backend scoring)'!$V$2:$V$333,'(backend scoring)'!$A$2:$A$333,"")</f>
        <v/>
      </c>
      <c r="C354" s="216" t="str">
        <f>IFERROR(VLOOKUP($B354,'Institution Evaluation'!$A$55:$F$346,2,0),IFERROR(VLOOKUP($B354,'Privacy Analyst Evaluation'!$A$46:$F$120,2,0),""))&amp;""</f>
        <v/>
      </c>
      <c r="D354" s="216" t="str">
        <f>IFERROR(VLOOKUP($B354,'Institution Evaluation'!$A$55:$F$346,3,0),IFERROR(VLOOKUP($B354,'Privacy Analyst Evaluation'!$A$46:$F$120,3,0),""))&amp;""</f>
        <v/>
      </c>
      <c r="E354" s="216" t="str">
        <f>IFERROR(VLOOKUP($B354,'Institution Evaluation'!$A$55:$F$346,4,0),IFERROR(VLOOKUP($B354,'Privacy Analyst Evaluation'!$A$46:$F$120,4,0),""))&amp;""</f>
        <v/>
      </c>
      <c r="F354" s="216" t="str">
        <f>IFERROR(VLOOKUP($B354,'Institution Evaluation'!$A$55:$F$346,6,0),IFERROR(VLOOKUP($B354,'Privacy Analyst Evaluation'!$A$46:$F$120,6,0),""))&amp;""</f>
        <v/>
      </c>
      <c r="G354" s="217"/>
      <c r="H354" s="216" t="str">
        <f>IFERROR(IF($H353+1&gt;'(backend scoring)'!$Q$335,"",$H353+1),"")</f>
        <v/>
      </c>
      <c r="I354" s="216" t="str">
        <f>_xlfn.XLOOKUP($H354,'(backend scoring)'!$S$2:$S$333,'(backend scoring)'!$A$2:$A$333,"")</f>
        <v/>
      </c>
      <c r="J354" s="216" t="str">
        <f>IFERROR(VLOOKUP($I354,'Institution Evaluation'!$A$55:$F$346,2,0),IFERROR(VLOOKUP($I354,'Privacy Analyst Evaluation'!$A$46:$F$120,2,0),""))</f>
        <v/>
      </c>
      <c r="K354" s="216" t="str">
        <f>IFERROR(VLOOKUP($I354,'Institution Evaluation'!$A$55:$F$346,3,0),IFERROR(VLOOKUP($I354,'Privacy Analyst Evaluation'!$A$46:$F$120,3,0),""))&amp;""</f>
        <v/>
      </c>
      <c r="L354" s="216" t="str">
        <f>IFERROR(VLOOKUP($I354,'Institution Evaluation'!$A$55:$F$346,4,0),IFERROR(VLOOKUP($I354,'Privacy Analyst Evaluation'!$A$46:$F$120,4,0),""))&amp;""</f>
        <v/>
      </c>
      <c r="M354" s="216" t="str">
        <f>IFERROR(VLOOKUP($I354,'Institution Evaluation'!$A$55:$F$346,6,0),IFERROR(VLOOKUP($I354,'Privacy Analyst Evaluation'!$A$46:$F$120,6,0),""))&amp;""</f>
        <v/>
      </c>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row>
    <row r="355" spans="1:338" x14ac:dyDescent="0.3">
      <c r="A355" s="216" t="str">
        <f>IFERROR(IF($A354+1&gt;'(backend scoring)'!$T$335,"",$A354+1),"")</f>
        <v/>
      </c>
      <c r="B355" s="216" t="str">
        <f>_xlfn.XLOOKUP($A355,'(backend scoring)'!$V$2:$V$333,'(backend scoring)'!$A$2:$A$333,"")</f>
        <v/>
      </c>
      <c r="C355" s="216" t="str">
        <f>IFERROR(VLOOKUP($B355,'Institution Evaluation'!$A$55:$F$346,2,0),IFERROR(VLOOKUP($B355,'Privacy Analyst Evaluation'!$A$46:$F$120,2,0),""))&amp;""</f>
        <v/>
      </c>
      <c r="D355" s="216" t="str">
        <f>IFERROR(VLOOKUP($B355,'Institution Evaluation'!$A$55:$F$346,3,0),IFERROR(VLOOKUP($B355,'Privacy Analyst Evaluation'!$A$46:$F$120,3,0),""))&amp;""</f>
        <v/>
      </c>
      <c r="E355" s="216" t="str">
        <f>IFERROR(VLOOKUP($B355,'Institution Evaluation'!$A$55:$F$346,4,0),IFERROR(VLOOKUP($B355,'Privacy Analyst Evaluation'!$A$46:$F$120,4,0),""))&amp;""</f>
        <v/>
      </c>
      <c r="F355" s="216" t="str">
        <f>IFERROR(VLOOKUP($B355,'Institution Evaluation'!$A$55:$F$346,6,0),IFERROR(VLOOKUP($B355,'Privacy Analyst Evaluation'!$A$46:$F$120,6,0),""))&amp;""</f>
        <v/>
      </c>
      <c r="G355" s="217"/>
      <c r="H355" s="216" t="str">
        <f>IFERROR(IF($H354+1&gt;'(backend scoring)'!$Q$335,"",$H354+1),"")</f>
        <v/>
      </c>
      <c r="I355" s="216" t="str">
        <f>_xlfn.XLOOKUP($H355,'(backend scoring)'!$S$2:$S$333,'(backend scoring)'!$A$2:$A$333,"")</f>
        <v/>
      </c>
      <c r="J355" s="216" t="str">
        <f>IFERROR(VLOOKUP($I355,'Institution Evaluation'!$A$55:$F$346,2,0),IFERROR(VLOOKUP($I355,'Privacy Analyst Evaluation'!$A$46:$F$120,2,0),""))</f>
        <v/>
      </c>
      <c r="K355" s="216" t="str">
        <f>IFERROR(VLOOKUP($I355,'Institution Evaluation'!$A$55:$F$346,3,0),IFERROR(VLOOKUP($I355,'Privacy Analyst Evaluation'!$A$46:$F$120,3,0),""))&amp;""</f>
        <v/>
      </c>
      <c r="L355" s="216" t="str">
        <f>IFERROR(VLOOKUP($I355,'Institution Evaluation'!$A$55:$F$346,4,0),IFERROR(VLOOKUP($I355,'Privacy Analyst Evaluation'!$A$46:$F$120,4,0),""))&amp;""</f>
        <v/>
      </c>
      <c r="M355" s="216" t="str">
        <f>IFERROR(VLOOKUP($I355,'Institution Evaluation'!$A$55:$F$346,6,0),IFERROR(VLOOKUP($I355,'Privacy Analyst Evaluation'!$A$46:$F$120,6,0),""))&amp;""</f>
        <v/>
      </c>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row>
    <row r="356" spans="1:338" x14ac:dyDescent="0.3">
      <c r="A356" s="216" t="str">
        <f>IFERROR(IF($A355+1&gt;'(backend scoring)'!$T$335,"",$A355+1),"")</f>
        <v/>
      </c>
      <c r="B356" s="216" t="str">
        <f>_xlfn.XLOOKUP($A356,'(backend scoring)'!$V$2:$V$333,'(backend scoring)'!$A$2:$A$333,"")</f>
        <v/>
      </c>
      <c r="C356" s="216" t="str">
        <f>IFERROR(VLOOKUP($B356,'Institution Evaluation'!$A$55:$F$346,2,0),IFERROR(VLOOKUP($B356,'Privacy Analyst Evaluation'!$A$46:$F$120,2,0),""))&amp;""</f>
        <v/>
      </c>
      <c r="D356" s="216" t="str">
        <f>IFERROR(VLOOKUP($B356,'Institution Evaluation'!$A$55:$F$346,3,0),IFERROR(VLOOKUP($B356,'Privacy Analyst Evaluation'!$A$46:$F$120,3,0),""))&amp;""</f>
        <v/>
      </c>
      <c r="E356" s="216" t="str">
        <f>IFERROR(VLOOKUP($B356,'Institution Evaluation'!$A$55:$F$346,4,0),IFERROR(VLOOKUP($B356,'Privacy Analyst Evaluation'!$A$46:$F$120,4,0),""))&amp;""</f>
        <v/>
      </c>
      <c r="F356" s="216" t="str">
        <f>IFERROR(VLOOKUP($B356,'Institution Evaluation'!$A$55:$F$346,6,0),IFERROR(VLOOKUP($B356,'Privacy Analyst Evaluation'!$A$46:$F$120,6,0),""))&amp;""</f>
        <v/>
      </c>
      <c r="G356" s="217"/>
      <c r="H356" s="216" t="str">
        <f>IFERROR(IF($H355+1&gt;'(backend scoring)'!$Q$335,"",$H355+1),"")</f>
        <v/>
      </c>
      <c r="I356" s="216" t="str">
        <f>_xlfn.XLOOKUP($H356,'(backend scoring)'!$S$2:$S$333,'(backend scoring)'!$A$2:$A$333,"")</f>
        <v/>
      </c>
      <c r="J356" s="216" t="str">
        <f>IFERROR(VLOOKUP($I356,'Institution Evaluation'!$A$55:$F$346,2,0),IFERROR(VLOOKUP($I356,'Privacy Analyst Evaluation'!$A$46:$F$120,2,0),""))</f>
        <v/>
      </c>
      <c r="K356" s="216" t="str">
        <f>IFERROR(VLOOKUP($I356,'Institution Evaluation'!$A$55:$F$346,3,0),IFERROR(VLOOKUP($I356,'Privacy Analyst Evaluation'!$A$46:$F$120,3,0),""))&amp;""</f>
        <v/>
      </c>
      <c r="L356" s="216" t="str">
        <f>IFERROR(VLOOKUP($I356,'Institution Evaluation'!$A$55:$F$346,4,0),IFERROR(VLOOKUP($I356,'Privacy Analyst Evaluation'!$A$46:$F$120,4,0),""))&amp;""</f>
        <v/>
      </c>
      <c r="M356" s="216" t="str">
        <f>IFERROR(VLOOKUP($I356,'Institution Evaluation'!$A$55:$F$346,6,0),IFERROR(VLOOKUP($I356,'Privacy Analyst Evaluation'!$A$46:$F$120,6,0),""))&amp;""</f>
        <v/>
      </c>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row>
    <row r="357" spans="1:338" x14ac:dyDescent="0.3">
      <c r="A357" s="216" t="str">
        <f>IFERROR(IF($A356+1&gt;'(backend scoring)'!$T$335,"",$A356+1),"")</f>
        <v/>
      </c>
      <c r="B357" s="216" t="str">
        <f>_xlfn.XLOOKUP($A357,'(backend scoring)'!$V$2:$V$333,'(backend scoring)'!$A$2:$A$333,"")</f>
        <v/>
      </c>
      <c r="C357" s="216" t="str">
        <f>IFERROR(VLOOKUP($B357,'Institution Evaluation'!$A$55:$F$346,2,0),IFERROR(VLOOKUP($B357,'Privacy Analyst Evaluation'!$A$46:$F$120,2,0),""))&amp;""</f>
        <v/>
      </c>
      <c r="D357" s="216" t="str">
        <f>IFERROR(VLOOKUP($B357,'Institution Evaluation'!$A$55:$F$346,3,0),IFERROR(VLOOKUP($B357,'Privacy Analyst Evaluation'!$A$46:$F$120,3,0),""))&amp;""</f>
        <v/>
      </c>
      <c r="E357" s="216" t="str">
        <f>IFERROR(VLOOKUP($B357,'Institution Evaluation'!$A$55:$F$346,4,0),IFERROR(VLOOKUP($B357,'Privacy Analyst Evaluation'!$A$46:$F$120,4,0),""))&amp;""</f>
        <v/>
      </c>
      <c r="F357" s="216" t="str">
        <f>IFERROR(VLOOKUP($B357,'Institution Evaluation'!$A$55:$F$346,6,0),IFERROR(VLOOKUP($B357,'Privacy Analyst Evaluation'!$A$46:$F$120,6,0),""))&amp;""</f>
        <v/>
      </c>
      <c r="G357" s="217"/>
      <c r="H357" s="216" t="str">
        <f>IFERROR(IF($H356+1&gt;'(backend scoring)'!$Q$335,"",$H356+1),"")</f>
        <v/>
      </c>
      <c r="I357" s="216" t="str">
        <f>_xlfn.XLOOKUP($H357,'(backend scoring)'!$S$2:$S$333,'(backend scoring)'!$A$2:$A$333,"")</f>
        <v/>
      </c>
      <c r="J357" s="216" t="str">
        <f>IFERROR(VLOOKUP($I357,'Institution Evaluation'!$A$55:$F$346,2,0),IFERROR(VLOOKUP($I357,'Privacy Analyst Evaluation'!$A$46:$F$120,2,0),""))</f>
        <v/>
      </c>
      <c r="K357" s="216" t="str">
        <f>IFERROR(VLOOKUP($I357,'Institution Evaluation'!$A$55:$F$346,3,0),IFERROR(VLOOKUP($I357,'Privacy Analyst Evaluation'!$A$46:$F$120,3,0),""))&amp;""</f>
        <v/>
      </c>
      <c r="L357" s="216" t="str">
        <f>IFERROR(VLOOKUP($I357,'Institution Evaluation'!$A$55:$F$346,4,0),IFERROR(VLOOKUP($I357,'Privacy Analyst Evaluation'!$A$46:$F$120,4,0),""))&amp;""</f>
        <v/>
      </c>
      <c r="M357" s="216" t="str">
        <f>IFERROR(VLOOKUP($I357,'Institution Evaluation'!$A$55:$F$346,6,0),IFERROR(VLOOKUP($I357,'Privacy Analyst Evaluation'!$A$46:$F$120,6,0),""))&amp;""</f>
        <v/>
      </c>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row>
    <row r="358" spans="1:338" x14ac:dyDescent="0.3">
      <c r="A358" s="216" t="str">
        <f>IFERROR(IF($A357+1&gt;'(backend scoring)'!$T$335,"",$A357+1),"")</f>
        <v/>
      </c>
      <c r="B358" s="216" t="str">
        <f>_xlfn.XLOOKUP($A358,'(backend scoring)'!$V$2:$V$333,'(backend scoring)'!$A$2:$A$333,"")</f>
        <v/>
      </c>
      <c r="C358" s="216" t="str">
        <f>IFERROR(VLOOKUP($B358,'Institution Evaluation'!$A$55:$F$346,2,0),IFERROR(VLOOKUP($B358,'Privacy Analyst Evaluation'!$A$46:$F$120,2,0),""))&amp;""</f>
        <v/>
      </c>
      <c r="D358" s="216" t="str">
        <f>IFERROR(VLOOKUP($B358,'Institution Evaluation'!$A$55:$F$346,3,0),IFERROR(VLOOKUP($B358,'Privacy Analyst Evaluation'!$A$46:$F$120,3,0),""))&amp;""</f>
        <v/>
      </c>
      <c r="E358" s="216" t="str">
        <f>IFERROR(VLOOKUP($B358,'Institution Evaluation'!$A$55:$F$346,4,0),IFERROR(VLOOKUP($B358,'Privacy Analyst Evaluation'!$A$46:$F$120,4,0),""))&amp;""</f>
        <v/>
      </c>
      <c r="F358" s="216" t="str">
        <f>IFERROR(VLOOKUP($B358,'Institution Evaluation'!$A$55:$F$346,6,0),IFERROR(VLOOKUP($B358,'Privacy Analyst Evaluation'!$A$46:$F$120,6,0),""))&amp;""</f>
        <v/>
      </c>
      <c r="G358" s="217"/>
      <c r="H358" s="216" t="str">
        <f>IFERROR(IF($H357+1&gt;'(backend scoring)'!$Q$335,"",$H357+1),"")</f>
        <v/>
      </c>
      <c r="I358" s="216" t="str">
        <f>_xlfn.XLOOKUP($H358,'(backend scoring)'!$S$2:$S$333,'(backend scoring)'!$A$2:$A$333,"")</f>
        <v/>
      </c>
      <c r="J358" s="216" t="str">
        <f>IFERROR(VLOOKUP($I358,'Institution Evaluation'!$A$55:$F$346,2,0),IFERROR(VLOOKUP($I358,'Privacy Analyst Evaluation'!$A$46:$F$120,2,0),""))</f>
        <v/>
      </c>
      <c r="K358" s="216" t="str">
        <f>IFERROR(VLOOKUP($I358,'Institution Evaluation'!$A$55:$F$346,3,0),IFERROR(VLOOKUP($I358,'Privacy Analyst Evaluation'!$A$46:$F$120,3,0),""))&amp;""</f>
        <v/>
      </c>
      <c r="L358" s="216" t="str">
        <f>IFERROR(VLOOKUP($I358,'Institution Evaluation'!$A$55:$F$346,4,0),IFERROR(VLOOKUP($I358,'Privacy Analyst Evaluation'!$A$46:$F$120,4,0),""))&amp;""</f>
        <v/>
      </c>
      <c r="M358" s="216" t="str">
        <f>IFERROR(VLOOKUP($I358,'Institution Evaluation'!$A$55:$F$346,6,0),IFERROR(VLOOKUP($I358,'Privacy Analyst Evaluation'!$A$46:$F$120,6,0),""))&amp;""</f>
        <v/>
      </c>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row>
    <row r="359" spans="1:338" x14ac:dyDescent="0.3">
      <c r="A359" s="216" t="str">
        <f>IFERROR(IF($A358+1&gt;'(backend scoring)'!$T$335,"",$A358+1),"")</f>
        <v/>
      </c>
      <c r="B359" s="216" t="str">
        <f>_xlfn.XLOOKUP($A359,'(backend scoring)'!$V$2:$V$333,'(backend scoring)'!$A$2:$A$333,"")</f>
        <v/>
      </c>
      <c r="C359" s="216" t="str">
        <f>IFERROR(VLOOKUP($B359,'Institution Evaluation'!$A$55:$F$346,2,0),IFERROR(VLOOKUP($B359,'Privacy Analyst Evaluation'!$A$46:$F$120,2,0),""))&amp;""</f>
        <v/>
      </c>
      <c r="D359" s="216" t="str">
        <f>IFERROR(VLOOKUP($B359,'Institution Evaluation'!$A$55:$F$346,3,0),IFERROR(VLOOKUP($B359,'Privacy Analyst Evaluation'!$A$46:$F$120,3,0),""))&amp;""</f>
        <v/>
      </c>
      <c r="E359" s="216" t="str">
        <f>IFERROR(VLOOKUP($B359,'Institution Evaluation'!$A$55:$F$346,4,0),IFERROR(VLOOKUP($B359,'Privacy Analyst Evaluation'!$A$46:$F$120,4,0),""))&amp;""</f>
        <v/>
      </c>
      <c r="F359" s="216" t="str">
        <f>IFERROR(VLOOKUP($B359,'Institution Evaluation'!$A$55:$F$346,6,0),IFERROR(VLOOKUP($B359,'Privacy Analyst Evaluation'!$A$46:$F$120,6,0),""))&amp;""</f>
        <v/>
      </c>
      <c r="G359" s="217"/>
      <c r="H359" s="216" t="str">
        <f>IFERROR(IF($H358+1&gt;'(backend scoring)'!$Q$335,"",$H358+1),"")</f>
        <v/>
      </c>
      <c r="I359" s="216" t="str">
        <f>_xlfn.XLOOKUP($H359,'(backend scoring)'!$S$2:$S$333,'(backend scoring)'!$A$2:$A$333,"")</f>
        <v/>
      </c>
      <c r="J359" s="216" t="str">
        <f>IFERROR(VLOOKUP($I359,'Institution Evaluation'!$A$55:$F$346,2,0),IFERROR(VLOOKUP($I359,'Privacy Analyst Evaluation'!$A$46:$F$120,2,0),""))</f>
        <v/>
      </c>
      <c r="K359" s="216" t="str">
        <f>IFERROR(VLOOKUP($I359,'Institution Evaluation'!$A$55:$F$346,3,0),IFERROR(VLOOKUP($I359,'Privacy Analyst Evaluation'!$A$46:$F$120,3,0),""))&amp;""</f>
        <v/>
      </c>
      <c r="L359" s="216" t="str">
        <f>IFERROR(VLOOKUP($I359,'Institution Evaluation'!$A$55:$F$346,4,0),IFERROR(VLOOKUP($I359,'Privacy Analyst Evaluation'!$A$46:$F$120,4,0),""))&amp;""</f>
        <v/>
      </c>
      <c r="M359" s="216" t="str">
        <f>IFERROR(VLOOKUP($I359,'Institution Evaluation'!$A$55:$F$346,6,0),IFERROR(VLOOKUP($I359,'Privacy Analyst Evaluation'!$A$46:$F$120,6,0),""))&amp;""</f>
        <v/>
      </c>
    </row>
    <row r="360" spans="1:338" x14ac:dyDescent="0.3">
      <c r="A360" s="216" t="str">
        <f>IFERROR(IF($A359+1&gt;'(backend scoring)'!$T$335,"",$A359+1),"")</f>
        <v/>
      </c>
      <c r="B360" s="216" t="str">
        <f>_xlfn.XLOOKUP($A360,'(backend scoring)'!$V$2:$V$333,'(backend scoring)'!$A$2:$A$333,"")</f>
        <v/>
      </c>
      <c r="C360" s="216" t="str">
        <f>IFERROR(VLOOKUP($B360,'Institution Evaluation'!$A$55:$F$346,2,0),IFERROR(VLOOKUP($B360,'Privacy Analyst Evaluation'!$A$46:$F$120,2,0),""))&amp;""</f>
        <v/>
      </c>
      <c r="D360" s="216" t="str">
        <f>IFERROR(VLOOKUP($B360,'Institution Evaluation'!$A$55:$F$346,3,0),IFERROR(VLOOKUP($B360,'Privacy Analyst Evaluation'!$A$46:$F$120,3,0),""))&amp;""</f>
        <v/>
      </c>
      <c r="E360" s="216" t="str">
        <f>IFERROR(VLOOKUP($B360,'Institution Evaluation'!$A$55:$F$346,4,0),IFERROR(VLOOKUP($B360,'Privacy Analyst Evaluation'!$A$46:$F$120,4,0),""))&amp;""</f>
        <v/>
      </c>
      <c r="F360" s="216" t="str">
        <f>IFERROR(VLOOKUP($B360,'Institution Evaluation'!$A$55:$F$346,6,0),IFERROR(VLOOKUP($B360,'Privacy Analyst Evaluation'!$A$46:$F$120,6,0),""))&amp;""</f>
        <v/>
      </c>
      <c r="G360" s="217"/>
      <c r="H360" s="216" t="str">
        <f>IFERROR(IF($H359+1&gt;'(backend scoring)'!$Q$335,"",$H359+1),"")</f>
        <v/>
      </c>
      <c r="I360" s="216" t="str">
        <f>_xlfn.XLOOKUP($H360,'(backend scoring)'!$S$2:$S$333,'(backend scoring)'!$A$2:$A$333,"")</f>
        <v/>
      </c>
      <c r="J360" s="216" t="str">
        <f>IFERROR(VLOOKUP($I360,'Institution Evaluation'!$A$55:$F$346,2,0),IFERROR(VLOOKUP($I360,'Privacy Analyst Evaluation'!$A$46:$F$120,2,0),""))</f>
        <v/>
      </c>
      <c r="K360" s="216" t="str">
        <f>IFERROR(VLOOKUP($I360,'Institution Evaluation'!$A$55:$F$346,3,0),IFERROR(VLOOKUP($I360,'Privacy Analyst Evaluation'!$A$46:$F$120,3,0),""))&amp;""</f>
        <v/>
      </c>
      <c r="L360" s="216" t="str">
        <f>IFERROR(VLOOKUP($I360,'Institution Evaluation'!$A$55:$F$346,4,0),IFERROR(VLOOKUP($I360,'Privacy Analyst Evaluation'!$A$46:$F$120,4,0),""))&amp;""</f>
        <v/>
      </c>
      <c r="M360" s="216" t="str">
        <f>IFERROR(VLOOKUP($I360,'Institution Evaluation'!$A$55:$F$346,6,0),IFERROR(VLOOKUP($I360,'Privacy Analyst Evaluation'!$A$46:$F$120,6,0),""))&amp;""</f>
        <v/>
      </c>
    </row>
    <row r="361" spans="1:338" x14ac:dyDescent="0.3">
      <c r="A361" s="216" t="str">
        <f>IFERROR(IF($A360+1&gt;'(backend scoring)'!$T$335,"",$A360+1),"")</f>
        <v/>
      </c>
      <c r="B361" s="216" t="str">
        <f>_xlfn.XLOOKUP($A361,'(backend scoring)'!$V$2:$V$333,'(backend scoring)'!$A$2:$A$333,"")</f>
        <v/>
      </c>
      <c r="C361" s="216" t="str">
        <f>IFERROR(VLOOKUP($B361,'Institution Evaluation'!$A$55:$F$346,2,0),IFERROR(VLOOKUP($B361,'Privacy Analyst Evaluation'!$A$46:$F$120,2,0),""))&amp;""</f>
        <v/>
      </c>
      <c r="D361" s="216" t="str">
        <f>IFERROR(VLOOKUP($B361,'Institution Evaluation'!$A$55:$F$346,3,0),IFERROR(VLOOKUP($B361,'Privacy Analyst Evaluation'!$A$46:$F$120,3,0),""))&amp;""</f>
        <v/>
      </c>
      <c r="E361" s="216" t="str">
        <f>IFERROR(VLOOKUP($B361,'Institution Evaluation'!$A$55:$F$346,4,0),IFERROR(VLOOKUP($B361,'Privacy Analyst Evaluation'!$A$46:$F$120,4,0),""))&amp;""</f>
        <v/>
      </c>
      <c r="F361" s="216" t="str">
        <f>IFERROR(VLOOKUP($B361,'Institution Evaluation'!$A$55:$F$346,6,0),IFERROR(VLOOKUP($B361,'Privacy Analyst Evaluation'!$A$46:$F$120,6,0),""))&amp;""</f>
        <v/>
      </c>
      <c r="G361" s="217"/>
      <c r="H361" s="216" t="str">
        <f>IFERROR(IF($H360+1&gt;'(backend scoring)'!$Q$335,"",$H360+1),"")</f>
        <v/>
      </c>
      <c r="I361" s="216" t="str">
        <f>_xlfn.XLOOKUP($H361,'(backend scoring)'!$S$2:$S$333,'(backend scoring)'!$A$2:$A$333,"")</f>
        <v/>
      </c>
      <c r="J361" s="216" t="str">
        <f>IFERROR(VLOOKUP($I361,'Institution Evaluation'!$A$55:$F$346,2,0),IFERROR(VLOOKUP($I361,'Privacy Analyst Evaluation'!$A$46:$F$120,2,0),""))</f>
        <v/>
      </c>
      <c r="K361" s="216" t="str">
        <f>IFERROR(VLOOKUP($I361,'Institution Evaluation'!$A$55:$F$346,3,0),IFERROR(VLOOKUP($I361,'Privacy Analyst Evaluation'!$A$46:$F$120,3,0),""))&amp;""</f>
        <v/>
      </c>
      <c r="L361" s="216" t="str">
        <f>IFERROR(VLOOKUP($I361,'Institution Evaluation'!$A$55:$F$346,4,0),IFERROR(VLOOKUP($I361,'Privacy Analyst Evaluation'!$A$46:$F$120,4,0),""))&amp;""</f>
        <v/>
      </c>
      <c r="M361" s="216" t="str">
        <f>IFERROR(VLOOKUP($I361,'Institution Evaluation'!$A$55:$F$346,6,0),IFERROR(VLOOKUP($I361,'Privacy Analyst Evaluation'!$A$46:$F$120,6,0),""))&amp;""</f>
        <v/>
      </c>
    </row>
    <row r="362" spans="1:338" x14ac:dyDescent="0.3">
      <c r="A362" s="216" t="str">
        <f>IFERROR(IF($A361+1&gt;'(backend scoring)'!$T$335,"",$A361+1),"")</f>
        <v/>
      </c>
      <c r="B362" s="216" t="str">
        <f>_xlfn.XLOOKUP($A362,'(backend scoring)'!$V$2:$V$333,'(backend scoring)'!$A$2:$A$333,"")</f>
        <v/>
      </c>
      <c r="C362" s="216" t="str">
        <f>IFERROR(VLOOKUP($B362,'Institution Evaluation'!$A$55:$F$346,2,0),IFERROR(VLOOKUP($B362,'Privacy Analyst Evaluation'!$A$46:$F$120,2,0),""))&amp;""</f>
        <v/>
      </c>
      <c r="D362" s="216" t="str">
        <f>IFERROR(VLOOKUP($B362,'Institution Evaluation'!$A$55:$F$346,3,0),IFERROR(VLOOKUP($B362,'Privacy Analyst Evaluation'!$A$46:$F$120,3,0),""))&amp;""</f>
        <v/>
      </c>
      <c r="E362" s="216" t="str">
        <f>IFERROR(VLOOKUP($B362,'Institution Evaluation'!$A$55:$F$346,4,0),IFERROR(VLOOKUP($B362,'Privacy Analyst Evaluation'!$A$46:$F$120,4,0),""))&amp;""</f>
        <v/>
      </c>
      <c r="F362" s="216" t="str">
        <f>IFERROR(VLOOKUP($B362,'Institution Evaluation'!$A$55:$F$346,6,0),IFERROR(VLOOKUP($B362,'Privacy Analyst Evaluation'!$A$46:$F$120,6,0),""))&amp;""</f>
        <v/>
      </c>
      <c r="G362" s="217"/>
      <c r="H362" s="216" t="str">
        <f>IFERROR(IF($H361+1&gt;'(backend scoring)'!$Q$335,"",$H361+1),"")</f>
        <v/>
      </c>
      <c r="I362" s="216" t="str">
        <f>_xlfn.XLOOKUP($H362,'(backend scoring)'!$S$2:$S$333,'(backend scoring)'!$A$2:$A$333,"")</f>
        <v/>
      </c>
      <c r="J362" s="216" t="str">
        <f>IFERROR(VLOOKUP($I362,'Institution Evaluation'!$A$55:$F$346,2,0),IFERROR(VLOOKUP($I362,'Privacy Analyst Evaluation'!$A$46:$F$120,2,0),""))</f>
        <v/>
      </c>
      <c r="K362" s="216" t="str">
        <f>IFERROR(VLOOKUP($I362,'Institution Evaluation'!$A$55:$F$346,3,0),IFERROR(VLOOKUP($I362,'Privacy Analyst Evaluation'!$A$46:$F$120,3,0),""))&amp;""</f>
        <v/>
      </c>
      <c r="L362" s="216" t="str">
        <f>IFERROR(VLOOKUP($I362,'Institution Evaluation'!$A$55:$F$346,4,0),IFERROR(VLOOKUP($I362,'Privacy Analyst Evaluation'!$A$46:$F$120,4,0),""))&amp;""</f>
        <v/>
      </c>
      <c r="M362" s="216" t="str">
        <f>IFERROR(VLOOKUP($I362,'Institution Evaluation'!$A$55:$F$346,6,0),IFERROR(VLOOKUP($I362,'Privacy Analyst Evaluation'!$A$46:$F$120,6,0),""))&amp;""</f>
        <v/>
      </c>
    </row>
    <row r="363" spans="1:338" x14ac:dyDescent="0.3">
      <c r="A363" s="216" t="str">
        <f>IFERROR(IF($A362+1&gt;'(backend scoring)'!$T$335,"",$A362+1),"")</f>
        <v/>
      </c>
      <c r="B363" s="216" t="str">
        <f>_xlfn.XLOOKUP($A363,'(backend scoring)'!$V$2:$V$333,'(backend scoring)'!$A$2:$A$333,"")</f>
        <v/>
      </c>
      <c r="C363" s="216" t="str">
        <f>IFERROR(VLOOKUP($B363,'Institution Evaluation'!$A$55:$F$346,2,0),IFERROR(VLOOKUP($B363,'Privacy Analyst Evaluation'!$A$46:$F$120,2,0),""))&amp;""</f>
        <v/>
      </c>
      <c r="D363" s="216" t="str">
        <f>IFERROR(VLOOKUP($B363,'Institution Evaluation'!$A$55:$F$346,3,0),IFERROR(VLOOKUP($B363,'Privacy Analyst Evaluation'!$A$46:$F$120,3,0),""))&amp;""</f>
        <v/>
      </c>
      <c r="E363" s="216" t="str">
        <f>IFERROR(VLOOKUP($B363,'Institution Evaluation'!$A$55:$F$346,4,0),IFERROR(VLOOKUP($B363,'Privacy Analyst Evaluation'!$A$46:$F$120,4,0),""))&amp;""</f>
        <v/>
      </c>
      <c r="F363" s="216" t="str">
        <f>IFERROR(VLOOKUP($B363,'Institution Evaluation'!$A$55:$F$346,6,0),IFERROR(VLOOKUP($B363,'Privacy Analyst Evaluation'!$A$46:$F$120,6,0),""))&amp;""</f>
        <v/>
      </c>
      <c r="G363" s="217"/>
      <c r="H363" s="216" t="str">
        <f>IFERROR(IF($H362+1&gt;'(backend scoring)'!$Q$335,"",$H362+1),"")</f>
        <v/>
      </c>
      <c r="I363" s="216" t="str">
        <f>_xlfn.XLOOKUP($H363,'(backend scoring)'!$S$2:$S$333,'(backend scoring)'!$A$2:$A$333,"")</f>
        <v/>
      </c>
      <c r="J363" s="216" t="str">
        <f>IFERROR(VLOOKUP($I363,'Institution Evaluation'!$A$55:$F$346,2,0),IFERROR(VLOOKUP($I363,'Privacy Analyst Evaluation'!$A$46:$F$120,2,0),""))</f>
        <v/>
      </c>
      <c r="K363" s="216" t="str">
        <f>IFERROR(VLOOKUP($I363,'Institution Evaluation'!$A$55:$F$346,3,0),IFERROR(VLOOKUP($I363,'Privacy Analyst Evaluation'!$A$46:$F$120,3,0),""))&amp;""</f>
        <v/>
      </c>
      <c r="L363" s="216" t="str">
        <f>IFERROR(VLOOKUP($I363,'Institution Evaluation'!$A$55:$F$346,4,0),IFERROR(VLOOKUP($I363,'Privacy Analyst Evaluation'!$A$46:$F$120,4,0),""))&amp;""</f>
        <v/>
      </c>
      <c r="M363" s="216" t="str">
        <f>IFERROR(VLOOKUP($I363,'Institution Evaluation'!$A$55:$F$346,6,0),IFERROR(VLOOKUP($I363,'Privacy Analyst Evaluation'!$A$46:$F$120,6,0),""))&amp;""</f>
        <v/>
      </c>
    </row>
    <row r="364" spans="1:338" x14ac:dyDescent="0.3">
      <c r="A364" s="216" t="str">
        <f>IFERROR(IF($A363+1&gt;'(backend scoring)'!$T$335,"",$A363+1),"")</f>
        <v/>
      </c>
      <c r="B364" s="216" t="str">
        <f>_xlfn.XLOOKUP($A364,'(backend scoring)'!$V$2:$V$333,'(backend scoring)'!$A$2:$A$333,"")</f>
        <v/>
      </c>
      <c r="C364" s="216" t="str">
        <f>IFERROR(VLOOKUP($B364,'Institution Evaluation'!$A$55:$F$346,2,0),IFERROR(VLOOKUP($B364,'Privacy Analyst Evaluation'!$A$46:$F$120,2,0),""))&amp;""</f>
        <v/>
      </c>
      <c r="D364" s="216" t="str">
        <f>IFERROR(VLOOKUP($B364,'Institution Evaluation'!$A$55:$F$346,3,0),IFERROR(VLOOKUP($B364,'Privacy Analyst Evaluation'!$A$46:$F$120,3,0),""))&amp;""</f>
        <v/>
      </c>
      <c r="E364" s="216" t="str">
        <f>IFERROR(VLOOKUP($B364,'Institution Evaluation'!$A$55:$F$346,4,0),IFERROR(VLOOKUP($B364,'Privacy Analyst Evaluation'!$A$46:$F$120,4,0),""))&amp;""</f>
        <v/>
      </c>
      <c r="F364" s="216" t="str">
        <f>IFERROR(VLOOKUP($B364,'Institution Evaluation'!$A$55:$F$346,6,0),IFERROR(VLOOKUP($B364,'Privacy Analyst Evaluation'!$A$46:$F$120,6,0),""))&amp;""</f>
        <v/>
      </c>
      <c r="G364" s="217"/>
      <c r="H364" s="216" t="str">
        <f>IFERROR(IF($H363+1&gt;'(backend scoring)'!$Q$335,"",$H363+1),"")</f>
        <v/>
      </c>
      <c r="I364" s="216" t="str">
        <f>_xlfn.XLOOKUP($H364,'(backend scoring)'!$S$2:$S$333,'(backend scoring)'!$A$2:$A$333,"")</f>
        <v/>
      </c>
      <c r="J364" s="216" t="str">
        <f>IFERROR(VLOOKUP($I364,'Institution Evaluation'!$A$55:$F$346,2,0),IFERROR(VLOOKUP($I364,'Privacy Analyst Evaluation'!$A$46:$F$120,2,0),""))</f>
        <v/>
      </c>
      <c r="K364" s="216" t="str">
        <f>IFERROR(VLOOKUP($I364,'Institution Evaluation'!$A$55:$F$346,3,0),IFERROR(VLOOKUP($I364,'Privacy Analyst Evaluation'!$A$46:$F$120,3,0),""))&amp;""</f>
        <v/>
      </c>
      <c r="L364" s="216" t="str">
        <f>IFERROR(VLOOKUP($I364,'Institution Evaluation'!$A$55:$F$346,4,0),IFERROR(VLOOKUP($I364,'Privacy Analyst Evaluation'!$A$46:$F$120,4,0),""))&amp;""</f>
        <v/>
      </c>
      <c r="M364" s="216" t="str">
        <f>IFERROR(VLOOKUP($I364,'Institution Evaluation'!$A$55:$F$346,6,0),IFERROR(VLOOKUP($I364,'Privacy Analyst Evaluation'!$A$46:$F$120,6,0),""))&amp;""</f>
        <v/>
      </c>
    </row>
    <row r="365" spans="1:338" x14ac:dyDescent="0.3">
      <c r="A365" s="216" t="str">
        <f>IFERROR(IF($A364+1&gt;'(backend scoring)'!$T$335,"",$A364+1),"")</f>
        <v/>
      </c>
      <c r="B365" s="216" t="str">
        <f>_xlfn.XLOOKUP($A365,'(backend scoring)'!$V$2:$V$333,'(backend scoring)'!$A$2:$A$333,"")</f>
        <v/>
      </c>
      <c r="C365" s="216" t="str">
        <f>IFERROR(VLOOKUP($B365,'Institution Evaluation'!$A$55:$F$346,2,0),IFERROR(VLOOKUP($B365,'Privacy Analyst Evaluation'!$A$46:$F$120,2,0),""))&amp;""</f>
        <v/>
      </c>
      <c r="D365" s="216" t="str">
        <f>IFERROR(VLOOKUP($B365,'Institution Evaluation'!$A$55:$F$346,3,0),IFERROR(VLOOKUP($B365,'Privacy Analyst Evaluation'!$A$46:$F$120,3,0),""))&amp;""</f>
        <v/>
      </c>
      <c r="E365" s="216" t="str">
        <f>IFERROR(VLOOKUP($B365,'Institution Evaluation'!$A$55:$F$346,4,0),IFERROR(VLOOKUP($B365,'Privacy Analyst Evaluation'!$A$46:$F$120,4,0),""))&amp;""</f>
        <v/>
      </c>
      <c r="F365" s="216" t="str">
        <f>IFERROR(VLOOKUP($B365,'Institution Evaluation'!$A$55:$F$346,6,0),IFERROR(VLOOKUP($B365,'Privacy Analyst Evaluation'!$A$46:$F$120,6,0),""))&amp;""</f>
        <v/>
      </c>
      <c r="G365" s="217"/>
      <c r="H365" s="216" t="str">
        <f>IFERROR(IF($H364+1&gt;'(backend scoring)'!$Q$335,"",$H364+1),"")</f>
        <v/>
      </c>
      <c r="I365" s="216" t="str">
        <f>_xlfn.XLOOKUP($H365,'(backend scoring)'!$S$2:$S$333,'(backend scoring)'!$A$2:$A$333,"")</f>
        <v/>
      </c>
      <c r="J365" s="216" t="str">
        <f>IFERROR(VLOOKUP($I365,'Institution Evaluation'!$A$55:$F$346,2,0),IFERROR(VLOOKUP($I365,'Privacy Analyst Evaluation'!$A$46:$F$120,2,0),""))</f>
        <v/>
      </c>
      <c r="K365" s="216" t="str">
        <f>IFERROR(VLOOKUP($I365,'Institution Evaluation'!$A$55:$F$346,3,0),IFERROR(VLOOKUP($I365,'Privacy Analyst Evaluation'!$A$46:$F$120,3,0),""))&amp;""</f>
        <v/>
      </c>
      <c r="L365" s="216" t="str">
        <f>IFERROR(VLOOKUP($I365,'Institution Evaluation'!$A$55:$F$346,4,0),IFERROR(VLOOKUP($I365,'Privacy Analyst Evaluation'!$A$46:$F$120,4,0),""))&amp;""</f>
        <v/>
      </c>
      <c r="M365" s="216" t="str">
        <f>IFERROR(VLOOKUP($I365,'Institution Evaluation'!$A$55:$F$346,6,0),IFERROR(VLOOKUP($I365,'Privacy Analyst Evaluation'!$A$46:$F$120,6,0),""))&amp;""</f>
        <v/>
      </c>
    </row>
    <row r="366" spans="1:338" x14ac:dyDescent="0.3">
      <c r="A366" s="216" t="str">
        <f>IFERROR(IF($A365+1&gt;'(backend scoring)'!$T$335,"",$A365+1),"")</f>
        <v/>
      </c>
      <c r="B366" s="216" t="str">
        <f>_xlfn.XLOOKUP($A366,'(backend scoring)'!$V$2:$V$333,'(backend scoring)'!$A$2:$A$333,"")</f>
        <v/>
      </c>
      <c r="C366" s="216" t="str">
        <f>IFERROR(VLOOKUP($B366,'Institution Evaluation'!$A$55:$F$346,2,0),IFERROR(VLOOKUP($B366,'Privacy Analyst Evaluation'!$A$46:$F$120,2,0),""))&amp;""</f>
        <v/>
      </c>
      <c r="D366" s="216" t="str">
        <f>IFERROR(VLOOKUP($B366,'Institution Evaluation'!$A$55:$F$346,3,0),IFERROR(VLOOKUP($B366,'Privacy Analyst Evaluation'!$A$46:$F$120,3,0),""))&amp;""</f>
        <v/>
      </c>
      <c r="E366" s="216" t="str">
        <f>IFERROR(VLOOKUP($B366,'Institution Evaluation'!$A$55:$F$346,4,0),IFERROR(VLOOKUP($B366,'Privacy Analyst Evaluation'!$A$46:$F$120,4,0),""))&amp;""</f>
        <v/>
      </c>
      <c r="F366" s="216" t="str">
        <f>IFERROR(VLOOKUP($B366,'Institution Evaluation'!$A$55:$F$346,6,0),IFERROR(VLOOKUP($B366,'Privacy Analyst Evaluation'!$A$46:$F$120,6,0),""))&amp;""</f>
        <v/>
      </c>
      <c r="G366" s="217"/>
      <c r="H366" s="216" t="str">
        <f>IFERROR(IF($H365+1&gt;'(backend scoring)'!$Q$335,"",$H365+1),"")</f>
        <v/>
      </c>
      <c r="I366" s="216" t="str">
        <f>_xlfn.XLOOKUP($H366,'(backend scoring)'!$S$2:$S$333,'(backend scoring)'!$A$2:$A$333,"")</f>
        <v/>
      </c>
      <c r="J366" s="216" t="str">
        <f>IFERROR(VLOOKUP($I366,'Institution Evaluation'!$A$55:$F$346,2,0),IFERROR(VLOOKUP($I366,'Privacy Analyst Evaluation'!$A$46:$F$120,2,0),""))</f>
        <v/>
      </c>
      <c r="K366" s="216" t="str">
        <f>IFERROR(VLOOKUP($I366,'Institution Evaluation'!$A$55:$F$346,3,0),IFERROR(VLOOKUP($I366,'Privacy Analyst Evaluation'!$A$46:$F$120,3,0),""))&amp;""</f>
        <v/>
      </c>
      <c r="L366" s="216" t="str">
        <f>IFERROR(VLOOKUP($I366,'Institution Evaluation'!$A$55:$F$346,4,0),IFERROR(VLOOKUP($I366,'Privacy Analyst Evaluation'!$A$46:$F$120,4,0),""))&amp;""</f>
        <v/>
      </c>
      <c r="M366" s="216" t="str">
        <f>IFERROR(VLOOKUP($I366,'Institution Evaluation'!$A$55:$F$346,6,0),IFERROR(VLOOKUP($I366,'Privacy Analyst Evaluation'!$A$46:$F$120,6,0),""))&amp;""</f>
        <v/>
      </c>
    </row>
    <row r="367" spans="1:338" x14ac:dyDescent="0.3">
      <c r="A367" s="216" t="str">
        <f>IFERROR(IF($A366+1&gt;'(backend scoring)'!$T$335,"",$A366+1),"")</f>
        <v/>
      </c>
      <c r="B367" s="216" t="str">
        <f>_xlfn.XLOOKUP($A367,'(backend scoring)'!$V$2:$V$333,'(backend scoring)'!$A$2:$A$333,"")</f>
        <v/>
      </c>
      <c r="C367" s="216" t="str">
        <f>IFERROR(VLOOKUP($B367,'Institution Evaluation'!$A$55:$F$346,2,0),IFERROR(VLOOKUP($B367,'Privacy Analyst Evaluation'!$A$46:$F$120,2,0),""))&amp;""</f>
        <v/>
      </c>
      <c r="D367" s="216" t="str">
        <f>IFERROR(VLOOKUP($B367,'Institution Evaluation'!$A$55:$F$346,3,0),IFERROR(VLOOKUP($B367,'Privacy Analyst Evaluation'!$A$46:$F$120,3,0),""))&amp;""</f>
        <v/>
      </c>
      <c r="E367" s="216" t="str">
        <f>IFERROR(VLOOKUP($B367,'Institution Evaluation'!$A$55:$F$346,4,0),IFERROR(VLOOKUP($B367,'Privacy Analyst Evaluation'!$A$46:$F$120,4,0),""))&amp;""</f>
        <v/>
      </c>
      <c r="F367" s="216" t="str">
        <f>IFERROR(VLOOKUP($B367,'Institution Evaluation'!$A$55:$F$346,6,0),IFERROR(VLOOKUP($B367,'Privacy Analyst Evaluation'!$A$46:$F$120,6,0),""))&amp;""</f>
        <v/>
      </c>
      <c r="G367" s="217"/>
      <c r="H367" s="216" t="str">
        <f>IFERROR(IF($H366+1&gt;'(backend scoring)'!$Q$335,"",$H366+1),"")</f>
        <v/>
      </c>
      <c r="I367" s="216" t="str">
        <f>_xlfn.XLOOKUP($H367,'(backend scoring)'!$S$2:$S$333,'(backend scoring)'!$A$2:$A$333,"")</f>
        <v/>
      </c>
      <c r="J367" s="216" t="str">
        <f>IFERROR(VLOOKUP($I367,'Institution Evaluation'!$A$55:$F$346,2,0),IFERROR(VLOOKUP($I367,'Privacy Analyst Evaluation'!$A$46:$F$120,2,0),""))</f>
        <v/>
      </c>
      <c r="K367" s="216" t="str">
        <f>IFERROR(VLOOKUP($I367,'Institution Evaluation'!$A$55:$F$346,3,0),IFERROR(VLOOKUP($I367,'Privacy Analyst Evaluation'!$A$46:$F$120,3,0),""))&amp;""</f>
        <v/>
      </c>
      <c r="L367" s="216" t="str">
        <f>IFERROR(VLOOKUP($I367,'Institution Evaluation'!$A$55:$F$346,4,0),IFERROR(VLOOKUP($I367,'Privacy Analyst Evaluation'!$A$46:$F$120,4,0),""))&amp;""</f>
        <v/>
      </c>
      <c r="M367" s="216" t="str">
        <f>IFERROR(VLOOKUP($I367,'Institution Evaluation'!$A$55:$F$346,6,0),IFERROR(VLOOKUP($I367,'Privacy Analyst Evaluation'!$A$46:$F$120,6,0),""))&amp;""</f>
        <v/>
      </c>
    </row>
    <row r="368" spans="1:338" x14ac:dyDescent="0.25">
      <c r="A368" s="216" t="str">
        <f>IFERROR(IF($A367+1&gt;'(backend scoring)'!$T$335,"",$A367+1),"")</f>
        <v/>
      </c>
      <c r="B368" s="216" t="str">
        <f>_xlfn.XLOOKUP($A368,'(backend scoring)'!$V$2:$V$333,'(backend scoring)'!$A$2:$A$333,"")</f>
        <v/>
      </c>
      <c r="C368" s="216" t="str">
        <f>IFERROR(VLOOKUP($B368,'Institution Evaluation'!$A$55:$F$346,2,0),IFERROR(VLOOKUP($B368,'Privacy Analyst Evaluation'!$A$46:$F$120,2,0),""))&amp;""</f>
        <v/>
      </c>
      <c r="D368" s="216" t="str">
        <f>IFERROR(VLOOKUP($B368,'Institution Evaluation'!$A$55:$F$346,3,0),IFERROR(VLOOKUP($B368,'Privacy Analyst Evaluation'!$A$46:$F$120,3,0),""))&amp;""</f>
        <v/>
      </c>
      <c r="E368" s="216" t="str">
        <f>IFERROR(VLOOKUP($B368,'Institution Evaluation'!$A$55:$F$346,4,0),IFERROR(VLOOKUP($B368,'Privacy Analyst Evaluation'!$A$46:$F$120,4,0),""))&amp;""</f>
        <v/>
      </c>
      <c r="F368" s="216" t="str">
        <f>IFERROR(VLOOKUP($B368,'Institution Evaluation'!$A$55:$F$346,6,0),IFERROR(VLOOKUP($B368,'Privacy Analyst Evaluation'!$A$46:$F$120,6,0),""))&amp;""</f>
        <v/>
      </c>
      <c r="G368" s="217"/>
      <c r="H368" s="216" t="str">
        <f>IFERROR(IF($H367+1&gt;'(backend scoring)'!$Q$335,"",$H367+1),"")</f>
        <v/>
      </c>
      <c r="I368" s="216" t="str">
        <f>_xlfn.XLOOKUP($H368,'(backend scoring)'!$S$2:$S$333,'(backend scoring)'!$A$2:$A$333,"")</f>
        <v/>
      </c>
      <c r="J368" s="216" t="str">
        <f>IFERROR(VLOOKUP($I368,'Institution Evaluation'!$A$55:$F$346,2,0),IFERROR(VLOOKUP($I368,'Privacy Analyst Evaluation'!$A$46:$F$120,2,0),""))</f>
        <v/>
      </c>
      <c r="K368" s="216" t="str">
        <f>IFERROR(VLOOKUP($I368,'Institution Evaluation'!$A$55:$F$346,3,0),IFERROR(VLOOKUP($I368,'Privacy Analyst Evaluation'!$A$46:$F$120,3,0),""))&amp;""</f>
        <v/>
      </c>
      <c r="L368" s="216" t="str">
        <f>IFERROR(VLOOKUP($I368,'Institution Evaluation'!$A$55:$F$346,4,0),IFERROR(VLOOKUP($I368,'Privacy Analyst Evaluation'!$A$46:$F$120,4,0),""))&amp;""</f>
        <v/>
      </c>
      <c r="M368" s="216" t="str">
        <f>IFERROR(VLOOKUP($I368,'Institution Evaluation'!$A$55:$F$346,6,0),IFERROR(VLOOKUP($I368,'Privacy Analyst Evaluation'!$A$46:$F$120,6,0),""))&amp;""</f>
        <v/>
      </c>
      <c r="N368" s="255" t="s">
        <v>1531</v>
      </c>
    </row>
    <row r="369" spans="1:2" x14ac:dyDescent="0.3">
      <c r="A369" s="256" t="s">
        <v>1532</v>
      </c>
      <c r="B369" s="256" t="s">
        <v>1532</v>
      </c>
    </row>
    <row r="370" spans="1:2" hidden="1" x14ac:dyDescent="0.3">
      <c r="A370"/>
      <c r="B370"/>
    </row>
    <row r="371" spans="1:2" hidden="1" x14ac:dyDescent="0.3">
      <c r="A371"/>
      <c r="B371"/>
    </row>
    <row r="372" spans="1:2" hidden="1" x14ac:dyDescent="0.3">
      <c r="A372"/>
      <c r="B372"/>
    </row>
    <row r="373" spans="1:2" hidden="1" x14ac:dyDescent="0.3">
      <c r="A373"/>
      <c r="B373"/>
    </row>
    <row r="374" spans="1:2" hidden="1" x14ac:dyDescent="0.3">
      <c r="A374"/>
      <c r="B374"/>
    </row>
    <row r="375" spans="1:2" hidden="1" x14ac:dyDescent="0.3">
      <c r="A375"/>
      <c r="B375"/>
    </row>
    <row r="376" spans="1:2" hidden="1" x14ac:dyDescent="0.3">
      <c r="A376"/>
      <c r="B376"/>
    </row>
    <row r="377" spans="1:2" hidden="1" x14ac:dyDescent="0.3">
      <c r="A377"/>
      <c r="B377"/>
    </row>
    <row r="378" spans="1:2" hidden="1" x14ac:dyDescent="0.3">
      <c r="A378"/>
      <c r="B378"/>
    </row>
    <row r="379" spans="1:2" hidden="1" x14ac:dyDescent="0.3">
      <c r="A379"/>
      <c r="B379"/>
    </row>
    <row r="380" spans="1:2" hidden="1" x14ac:dyDescent="0.3">
      <c r="A380"/>
      <c r="B380"/>
    </row>
    <row r="381" spans="1:2" hidden="1" x14ac:dyDescent="0.3">
      <c r="A381"/>
      <c r="B381"/>
    </row>
    <row r="382" spans="1:2" hidden="1" x14ac:dyDescent="0.3">
      <c r="A382"/>
      <c r="B382"/>
    </row>
    <row r="383" spans="1:2" hidden="1" x14ac:dyDescent="0.3">
      <c r="A383"/>
      <c r="B383"/>
    </row>
    <row r="384" spans="1:2" hidden="1" x14ac:dyDescent="0.3">
      <c r="A384"/>
      <c r="B384"/>
    </row>
    <row r="385" spans="1:2" hidden="1" x14ac:dyDescent="0.3">
      <c r="A385"/>
      <c r="B385"/>
    </row>
    <row r="386" spans="1:2" hidden="1" x14ac:dyDescent="0.3">
      <c r="A386"/>
      <c r="B386"/>
    </row>
    <row r="387" spans="1:2" hidden="1" x14ac:dyDescent="0.3">
      <c r="A387"/>
      <c r="B387"/>
    </row>
    <row r="388" spans="1:2" hidden="1" x14ac:dyDescent="0.3">
      <c r="A388"/>
      <c r="B388"/>
    </row>
    <row r="389" spans="1:2" hidden="1" x14ac:dyDescent="0.3">
      <c r="A389"/>
      <c r="B389"/>
    </row>
    <row r="390" spans="1:2" hidden="1" x14ac:dyDescent="0.3">
      <c r="A390"/>
      <c r="B390"/>
    </row>
    <row r="391" spans="1:2" hidden="1" x14ac:dyDescent="0.3">
      <c r="A391"/>
      <c r="B391"/>
    </row>
    <row r="392" spans="1:2" hidden="1" x14ac:dyDescent="0.3">
      <c r="A392"/>
      <c r="B392"/>
    </row>
    <row r="393" spans="1:2" hidden="1" x14ac:dyDescent="0.3">
      <c r="A393"/>
      <c r="B393"/>
    </row>
    <row r="394" spans="1:2" hidden="1" x14ac:dyDescent="0.3">
      <c r="A394"/>
      <c r="B394"/>
    </row>
    <row r="395" spans="1:2" hidden="1" x14ac:dyDescent="0.3">
      <c r="A395"/>
      <c r="B395"/>
    </row>
    <row r="396" spans="1:2" hidden="1" x14ac:dyDescent="0.3">
      <c r="A396"/>
      <c r="B396"/>
    </row>
    <row r="397" spans="1:2" hidden="1" x14ac:dyDescent="0.3">
      <c r="A397"/>
      <c r="B397"/>
    </row>
    <row r="398" spans="1:2" hidden="1" x14ac:dyDescent="0.3">
      <c r="A398"/>
      <c r="B398"/>
    </row>
    <row r="399" spans="1:2" hidden="1" x14ac:dyDescent="0.3">
      <c r="A399"/>
      <c r="B399"/>
    </row>
    <row r="400" spans="1:2" hidden="1" x14ac:dyDescent="0.3">
      <c r="A400"/>
      <c r="B400"/>
    </row>
    <row r="401" spans="1:2" hidden="1" x14ac:dyDescent="0.3">
      <c r="A401"/>
      <c r="B401"/>
    </row>
    <row r="402" spans="1:2" hidden="1" x14ac:dyDescent="0.3">
      <c r="A402"/>
      <c r="B402"/>
    </row>
    <row r="403" spans="1:2" hidden="1" x14ac:dyDescent="0.3">
      <c r="A403"/>
      <c r="B403"/>
    </row>
    <row r="404" spans="1:2" hidden="1" x14ac:dyDescent="0.3">
      <c r="A404"/>
      <c r="B404"/>
    </row>
    <row r="405" spans="1:2" hidden="1" x14ac:dyDescent="0.3">
      <c r="A405"/>
      <c r="B405"/>
    </row>
    <row r="406" spans="1:2" hidden="1" x14ac:dyDescent="0.3">
      <c r="A406"/>
      <c r="B406"/>
    </row>
    <row r="407" spans="1:2" hidden="1" x14ac:dyDescent="0.3">
      <c r="A407"/>
      <c r="B407"/>
    </row>
    <row r="408" spans="1:2" hidden="1" x14ac:dyDescent="0.3">
      <c r="A408"/>
      <c r="B408"/>
    </row>
    <row r="409" spans="1:2" hidden="1" x14ac:dyDescent="0.3">
      <c r="A409"/>
      <c r="B409"/>
    </row>
    <row r="410" spans="1:2" hidden="1" x14ac:dyDescent="0.3">
      <c r="A410"/>
      <c r="B410"/>
    </row>
    <row r="411" spans="1:2" hidden="1" x14ac:dyDescent="0.3">
      <c r="A411"/>
      <c r="B411"/>
    </row>
    <row r="412" spans="1:2" hidden="1" x14ac:dyDescent="0.3">
      <c r="A412"/>
      <c r="B412"/>
    </row>
    <row r="413" spans="1:2" hidden="1" x14ac:dyDescent="0.3">
      <c r="A413"/>
      <c r="B413"/>
    </row>
    <row r="414" spans="1:2" hidden="1" x14ac:dyDescent="0.3">
      <c r="A414"/>
      <c r="B414"/>
    </row>
    <row r="415" spans="1:2" hidden="1" x14ac:dyDescent="0.3">
      <c r="A415"/>
      <c r="B415"/>
    </row>
    <row r="416" spans="1:2" hidden="1" x14ac:dyDescent="0.3">
      <c r="A416"/>
      <c r="B416"/>
    </row>
    <row r="417" spans="1:2" hidden="1" x14ac:dyDescent="0.3">
      <c r="A417"/>
      <c r="B417"/>
    </row>
    <row r="418" spans="1:2" hidden="1" x14ac:dyDescent="0.3">
      <c r="A418"/>
      <c r="B418"/>
    </row>
    <row r="419" spans="1:2" hidden="1" x14ac:dyDescent="0.3">
      <c r="A419"/>
      <c r="B419"/>
    </row>
    <row r="420" spans="1:2" hidden="1" x14ac:dyDescent="0.3">
      <c r="A420"/>
      <c r="B420"/>
    </row>
    <row r="421" spans="1:2" hidden="1" x14ac:dyDescent="0.3">
      <c r="A421"/>
      <c r="B421"/>
    </row>
    <row r="422" spans="1:2" hidden="1" x14ac:dyDescent="0.3">
      <c r="A422"/>
      <c r="B422"/>
    </row>
    <row r="423" spans="1:2" hidden="1" x14ac:dyDescent="0.3">
      <c r="A423"/>
      <c r="B423"/>
    </row>
    <row r="424" spans="1:2" hidden="1" x14ac:dyDescent="0.3">
      <c r="A424"/>
      <c r="B424"/>
    </row>
    <row r="425" spans="1:2" hidden="1" x14ac:dyDescent="0.3">
      <c r="A425"/>
      <c r="B425"/>
    </row>
    <row r="426" spans="1:2" hidden="1" x14ac:dyDescent="0.3">
      <c r="A426"/>
      <c r="B426"/>
    </row>
    <row r="427" spans="1:2" hidden="1" x14ac:dyDescent="0.3">
      <c r="A427"/>
      <c r="B427"/>
    </row>
    <row r="428" spans="1:2" hidden="1" x14ac:dyDescent="0.3">
      <c r="A428"/>
      <c r="B428"/>
    </row>
    <row r="429" spans="1:2" hidden="1" x14ac:dyDescent="0.3">
      <c r="A429"/>
      <c r="B429"/>
    </row>
    <row r="430" spans="1:2" hidden="1" x14ac:dyDescent="0.3">
      <c r="A430"/>
      <c r="B430"/>
    </row>
    <row r="431" spans="1:2" hidden="1" x14ac:dyDescent="0.3">
      <c r="A431"/>
      <c r="B431"/>
    </row>
    <row r="432" spans="1:2" hidden="1" x14ac:dyDescent="0.3">
      <c r="A432"/>
      <c r="B432"/>
    </row>
    <row r="433" spans="1:2" hidden="1" x14ac:dyDescent="0.3">
      <c r="A433"/>
      <c r="B433"/>
    </row>
    <row r="434" spans="1:2" hidden="1" x14ac:dyDescent="0.3">
      <c r="A434"/>
      <c r="B434"/>
    </row>
    <row r="435" spans="1:2" hidden="1" x14ac:dyDescent="0.3">
      <c r="A435"/>
      <c r="B435"/>
    </row>
    <row r="436" spans="1:2" hidden="1" x14ac:dyDescent="0.3">
      <c r="A436"/>
      <c r="B436"/>
    </row>
    <row r="437" spans="1:2" hidden="1" x14ac:dyDescent="0.3">
      <c r="A437"/>
      <c r="B437"/>
    </row>
    <row r="438" spans="1:2" hidden="1" x14ac:dyDescent="0.3">
      <c r="A438"/>
      <c r="B438"/>
    </row>
    <row r="439" spans="1:2" hidden="1" x14ac:dyDescent="0.3">
      <c r="A439"/>
      <c r="B439"/>
    </row>
    <row r="440" spans="1:2" hidden="1" x14ac:dyDescent="0.3">
      <c r="A440"/>
      <c r="B440"/>
    </row>
    <row r="441" spans="1:2" hidden="1" x14ac:dyDescent="0.3">
      <c r="A441"/>
      <c r="B441"/>
    </row>
    <row r="442" spans="1:2" hidden="1" x14ac:dyDescent="0.3">
      <c r="A442"/>
      <c r="B442"/>
    </row>
    <row r="443" spans="1:2" hidden="1" x14ac:dyDescent="0.3">
      <c r="A443"/>
      <c r="B443"/>
    </row>
    <row r="444" spans="1:2" hidden="1" x14ac:dyDescent="0.3">
      <c r="A444"/>
      <c r="B444"/>
    </row>
    <row r="445" spans="1:2" hidden="1" x14ac:dyDescent="0.3">
      <c r="A445"/>
      <c r="B445"/>
    </row>
    <row r="446" spans="1:2" hidden="1" x14ac:dyDescent="0.3">
      <c r="A446"/>
      <c r="B446"/>
    </row>
    <row r="447" spans="1:2" hidden="1" x14ac:dyDescent="0.3">
      <c r="A447"/>
      <c r="B447"/>
    </row>
    <row r="448" spans="1:2" hidden="1" x14ac:dyDescent="0.3">
      <c r="A448"/>
      <c r="B448"/>
    </row>
    <row r="449" spans="1:2" hidden="1" x14ac:dyDescent="0.3">
      <c r="A449"/>
      <c r="B449"/>
    </row>
    <row r="450" spans="1:2" hidden="1" x14ac:dyDescent="0.3">
      <c r="A450"/>
      <c r="B450"/>
    </row>
    <row r="451" spans="1:2" hidden="1" x14ac:dyDescent="0.3">
      <c r="A451"/>
      <c r="B451"/>
    </row>
    <row r="452" spans="1:2" hidden="1" x14ac:dyDescent="0.3">
      <c r="A452"/>
      <c r="B452"/>
    </row>
    <row r="453" spans="1:2" hidden="1" x14ac:dyDescent="0.3">
      <c r="A453"/>
      <c r="B453"/>
    </row>
    <row r="454" spans="1:2" hidden="1" x14ac:dyDescent="0.3">
      <c r="A454"/>
      <c r="B454"/>
    </row>
    <row r="455" spans="1:2" hidden="1" x14ac:dyDescent="0.3">
      <c r="A455"/>
      <c r="B455"/>
    </row>
    <row r="456" spans="1:2" hidden="1" x14ac:dyDescent="0.3">
      <c r="A456"/>
      <c r="B456"/>
    </row>
    <row r="457" spans="1:2" hidden="1" x14ac:dyDescent="0.3">
      <c r="A457"/>
      <c r="B457"/>
    </row>
    <row r="458" spans="1:2" hidden="1" x14ac:dyDescent="0.3">
      <c r="A458"/>
      <c r="B458"/>
    </row>
    <row r="459" spans="1:2" hidden="1" x14ac:dyDescent="0.3">
      <c r="A459"/>
      <c r="B459"/>
    </row>
    <row r="460" spans="1:2" hidden="1" x14ac:dyDescent="0.3">
      <c r="A460"/>
      <c r="B460"/>
    </row>
    <row r="461" spans="1:2" hidden="1" x14ac:dyDescent="0.3">
      <c r="A461"/>
      <c r="B461"/>
    </row>
    <row r="462" spans="1:2" hidden="1" x14ac:dyDescent="0.3">
      <c r="A462"/>
      <c r="B462"/>
    </row>
    <row r="463" spans="1:2" hidden="1" x14ac:dyDescent="0.3">
      <c r="A463"/>
      <c r="B463"/>
    </row>
    <row r="464" spans="1:2" hidden="1" x14ac:dyDescent="0.3">
      <c r="A464"/>
      <c r="B464"/>
    </row>
    <row r="465" spans="1:2" hidden="1" x14ac:dyDescent="0.3">
      <c r="A465"/>
      <c r="B465"/>
    </row>
    <row r="466" spans="1:2" hidden="1" x14ac:dyDescent="0.3">
      <c r="A466"/>
      <c r="B466"/>
    </row>
    <row r="467" spans="1:2" hidden="1" x14ac:dyDescent="0.3">
      <c r="A467"/>
      <c r="B467"/>
    </row>
    <row r="468" spans="1:2" hidden="1" x14ac:dyDescent="0.3">
      <c r="A468"/>
      <c r="B468"/>
    </row>
    <row r="469" spans="1:2" hidden="1" x14ac:dyDescent="0.3">
      <c r="A469"/>
      <c r="B469"/>
    </row>
    <row r="470" spans="1:2" hidden="1" x14ac:dyDescent="0.3">
      <c r="A470"/>
      <c r="B470"/>
    </row>
    <row r="471" spans="1:2" hidden="1" x14ac:dyDescent="0.3">
      <c r="A471"/>
      <c r="B471"/>
    </row>
    <row r="472" spans="1:2" hidden="1" x14ac:dyDescent="0.3">
      <c r="A472"/>
      <c r="B472"/>
    </row>
    <row r="473" spans="1:2" hidden="1" x14ac:dyDescent="0.3">
      <c r="A473"/>
      <c r="B473"/>
    </row>
    <row r="474" spans="1:2" hidden="1" x14ac:dyDescent="0.3">
      <c r="A474"/>
      <c r="B474"/>
    </row>
    <row r="475" spans="1:2" hidden="1" x14ac:dyDescent="0.3">
      <c r="A475"/>
      <c r="B475"/>
    </row>
    <row r="476" spans="1:2" hidden="1" x14ac:dyDescent="0.3">
      <c r="A476"/>
      <c r="B476"/>
    </row>
    <row r="477" spans="1:2" hidden="1" x14ac:dyDescent="0.3">
      <c r="A477"/>
      <c r="B477"/>
    </row>
    <row r="478" spans="1:2" hidden="1" x14ac:dyDescent="0.3">
      <c r="A478"/>
      <c r="B478"/>
    </row>
    <row r="479" spans="1:2" hidden="1" x14ac:dyDescent="0.3">
      <c r="A479"/>
      <c r="B479"/>
    </row>
    <row r="480" spans="1:2" hidden="1" x14ac:dyDescent="0.3">
      <c r="A480"/>
      <c r="B480"/>
    </row>
    <row r="481" spans="1:2" hidden="1" x14ac:dyDescent="0.3">
      <c r="A481"/>
      <c r="B481"/>
    </row>
    <row r="482" spans="1:2" hidden="1" x14ac:dyDescent="0.3">
      <c r="A482"/>
      <c r="B482"/>
    </row>
    <row r="483" spans="1:2" hidden="1" x14ac:dyDescent="0.3">
      <c r="A483"/>
      <c r="B483"/>
    </row>
    <row r="484" spans="1:2" hidden="1" x14ac:dyDescent="0.3">
      <c r="A484"/>
      <c r="B484"/>
    </row>
    <row r="485" spans="1:2" hidden="1" x14ac:dyDescent="0.3">
      <c r="A485"/>
      <c r="B485"/>
    </row>
    <row r="486" spans="1:2" hidden="1" x14ac:dyDescent="0.3">
      <c r="A486"/>
      <c r="B486"/>
    </row>
    <row r="487" spans="1:2" hidden="1" x14ac:dyDescent="0.3">
      <c r="A487"/>
      <c r="B487"/>
    </row>
    <row r="488" spans="1:2" hidden="1" x14ac:dyDescent="0.3">
      <c r="A488"/>
      <c r="B488"/>
    </row>
    <row r="489" spans="1:2" hidden="1" x14ac:dyDescent="0.3">
      <c r="A489"/>
      <c r="B489"/>
    </row>
    <row r="490" spans="1:2" hidden="1" x14ac:dyDescent="0.3">
      <c r="A490"/>
      <c r="B490"/>
    </row>
    <row r="491" spans="1:2" hidden="1" x14ac:dyDescent="0.3">
      <c r="A491"/>
      <c r="B491"/>
    </row>
    <row r="492" spans="1:2" hidden="1" x14ac:dyDescent="0.3">
      <c r="A492"/>
      <c r="B492"/>
    </row>
    <row r="493" spans="1:2" hidden="1" x14ac:dyDescent="0.3">
      <c r="A493"/>
      <c r="B493"/>
    </row>
    <row r="494" spans="1:2" hidden="1" x14ac:dyDescent="0.3">
      <c r="A494"/>
      <c r="B494"/>
    </row>
    <row r="495" spans="1:2" hidden="1" x14ac:dyDescent="0.3">
      <c r="A495"/>
      <c r="B495"/>
    </row>
    <row r="496" spans="1:2" hidden="1" x14ac:dyDescent="0.3">
      <c r="A496"/>
      <c r="B496"/>
    </row>
    <row r="497" spans="1:2" hidden="1" x14ac:dyDescent="0.3">
      <c r="A497"/>
      <c r="B497"/>
    </row>
    <row r="498" spans="1:2" hidden="1" x14ac:dyDescent="0.3">
      <c r="A498"/>
      <c r="B498"/>
    </row>
    <row r="499" spans="1:2" hidden="1" x14ac:dyDescent="0.3">
      <c r="A499"/>
      <c r="B499"/>
    </row>
    <row r="500" spans="1:2" hidden="1" x14ac:dyDescent="0.3">
      <c r="A500"/>
      <c r="B500"/>
    </row>
    <row r="501" spans="1:2" hidden="1" x14ac:dyDescent="0.3">
      <c r="A501"/>
      <c r="B501"/>
    </row>
    <row r="502" spans="1:2" hidden="1" x14ac:dyDescent="0.3">
      <c r="A502"/>
      <c r="B502"/>
    </row>
    <row r="503" spans="1:2" hidden="1" x14ac:dyDescent="0.3">
      <c r="A503"/>
      <c r="B503"/>
    </row>
    <row r="504" spans="1:2" hidden="1" x14ac:dyDescent="0.3">
      <c r="A504"/>
      <c r="B504"/>
    </row>
    <row r="505" spans="1:2" hidden="1" x14ac:dyDescent="0.3">
      <c r="A505"/>
      <c r="B505"/>
    </row>
    <row r="506" spans="1:2" hidden="1" x14ac:dyDescent="0.3">
      <c r="A506"/>
      <c r="B506"/>
    </row>
    <row r="507" spans="1:2" hidden="1" x14ac:dyDescent="0.3">
      <c r="A507"/>
      <c r="B507"/>
    </row>
    <row r="508" spans="1:2" hidden="1" x14ac:dyDescent="0.3">
      <c r="A508"/>
      <c r="B508"/>
    </row>
    <row r="509" spans="1:2" hidden="1" x14ac:dyDescent="0.3">
      <c r="A509"/>
      <c r="B509"/>
    </row>
    <row r="510" spans="1:2" hidden="1" x14ac:dyDescent="0.3">
      <c r="A510"/>
      <c r="B510"/>
    </row>
    <row r="511" spans="1:2" hidden="1" x14ac:dyDescent="0.3">
      <c r="A511"/>
      <c r="B511"/>
    </row>
    <row r="512" spans="1:2" hidden="1" x14ac:dyDescent="0.3">
      <c r="A512"/>
      <c r="B512"/>
    </row>
    <row r="513" spans="1:2" hidden="1" x14ac:dyDescent="0.3">
      <c r="A513"/>
      <c r="B513"/>
    </row>
    <row r="514" spans="1:2" hidden="1" x14ac:dyDescent="0.3">
      <c r="A514"/>
      <c r="B514"/>
    </row>
    <row r="515" spans="1:2" hidden="1" x14ac:dyDescent="0.3">
      <c r="A515"/>
      <c r="B515"/>
    </row>
    <row r="516" spans="1:2" hidden="1" x14ac:dyDescent="0.3">
      <c r="A516"/>
      <c r="B516"/>
    </row>
    <row r="517" spans="1:2" hidden="1" x14ac:dyDescent="0.3">
      <c r="A517"/>
      <c r="B517"/>
    </row>
    <row r="518" spans="1:2" hidden="1" x14ac:dyDescent="0.3">
      <c r="A518"/>
      <c r="B518"/>
    </row>
    <row r="519" spans="1:2" hidden="1" x14ac:dyDescent="0.3">
      <c r="A519"/>
      <c r="B519"/>
    </row>
    <row r="520" spans="1:2" hidden="1" x14ac:dyDescent="0.3">
      <c r="A520"/>
      <c r="B520"/>
    </row>
    <row r="521" spans="1:2" hidden="1" x14ac:dyDescent="0.3">
      <c r="A521"/>
      <c r="B521"/>
    </row>
    <row r="522" spans="1:2" hidden="1" x14ac:dyDescent="0.3">
      <c r="A522"/>
      <c r="B522"/>
    </row>
    <row r="523" spans="1:2" hidden="1" x14ac:dyDescent="0.3">
      <c r="A523"/>
      <c r="B523"/>
    </row>
    <row r="524" spans="1:2" hidden="1" x14ac:dyDescent="0.3">
      <c r="A524"/>
      <c r="B524"/>
    </row>
    <row r="525" spans="1:2" hidden="1" x14ac:dyDescent="0.3">
      <c r="A525"/>
      <c r="B525"/>
    </row>
    <row r="526" spans="1:2" hidden="1" x14ac:dyDescent="0.3">
      <c r="A526"/>
      <c r="B526"/>
    </row>
    <row r="527" spans="1:2" hidden="1" x14ac:dyDescent="0.3">
      <c r="A527"/>
      <c r="B527"/>
    </row>
    <row r="528" spans="1:2" hidden="1" x14ac:dyDescent="0.3">
      <c r="A528"/>
      <c r="B528"/>
    </row>
    <row r="529" spans="1:2" hidden="1" x14ac:dyDescent="0.3">
      <c r="A529"/>
      <c r="B529"/>
    </row>
    <row r="530" spans="1:2" hidden="1" x14ac:dyDescent="0.3">
      <c r="A530"/>
      <c r="B530"/>
    </row>
    <row r="531" spans="1:2" hidden="1" x14ac:dyDescent="0.3">
      <c r="A531"/>
      <c r="B531"/>
    </row>
    <row r="532" spans="1:2" hidden="1" x14ac:dyDescent="0.3">
      <c r="A532"/>
      <c r="B532"/>
    </row>
    <row r="533" spans="1:2" hidden="1" x14ac:dyDescent="0.3">
      <c r="A533"/>
      <c r="B533"/>
    </row>
    <row r="534" spans="1:2" hidden="1" x14ac:dyDescent="0.3">
      <c r="A534"/>
      <c r="B534"/>
    </row>
    <row r="535" spans="1:2" hidden="1" x14ac:dyDescent="0.3">
      <c r="A535"/>
      <c r="B535"/>
    </row>
    <row r="536" spans="1:2" hidden="1" x14ac:dyDescent="0.3">
      <c r="A536"/>
      <c r="B536"/>
    </row>
    <row r="537" spans="1:2" hidden="1" x14ac:dyDescent="0.3">
      <c r="A537"/>
      <c r="B537"/>
    </row>
    <row r="538" spans="1:2" hidden="1" x14ac:dyDescent="0.3">
      <c r="A538"/>
      <c r="B538"/>
    </row>
    <row r="539" spans="1:2" hidden="1" x14ac:dyDescent="0.3">
      <c r="A539"/>
      <c r="B539"/>
    </row>
    <row r="540" spans="1:2" hidden="1" x14ac:dyDescent="0.3">
      <c r="A540"/>
      <c r="B540"/>
    </row>
    <row r="541" spans="1:2" hidden="1" x14ac:dyDescent="0.3">
      <c r="A541"/>
      <c r="B541"/>
    </row>
    <row r="542" spans="1:2" hidden="1" x14ac:dyDescent="0.3">
      <c r="A542"/>
      <c r="B542"/>
    </row>
    <row r="543" spans="1:2" hidden="1" x14ac:dyDescent="0.3">
      <c r="A543"/>
      <c r="B543"/>
    </row>
    <row r="544" spans="1:2" hidden="1" x14ac:dyDescent="0.3">
      <c r="A544"/>
      <c r="B544"/>
    </row>
    <row r="545" spans="1:2" hidden="1" x14ac:dyDescent="0.3">
      <c r="A545"/>
      <c r="B545"/>
    </row>
    <row r="546" spans="1:2" hidden="1" x14ac:dyDescent="0.3">
      <c r="A546"/>
      <c r="B546"/>
    </row>
    <row r="547" spans="1:2" hidden="1" x14ac:dyDescent="0.3">
      <c r="A547"/>
      <c r="B547"/>
    </row>
    <row r="548" spans="1:2" hidden="1" x14ac:dyDescent="0.3">
      <c r="A548"/>
      <c r="B548"/>
    </row>
    <row r="549" spans="1:2" hidden="1" x14ac:dyDescent="0.3">
      <c r="A549"/>
      <c r="B549"/>
    </row>
    <row r="550" spans="1:2" hidden="1" x14ac:dyDescent="0.3">
      <c r="A550"/>
      <c r="B550"/>
    </row>
    <row r="551" spans="1:2" hidden="1" x14ac:dyDescent="0.3">
      <c r="A551"/>
      <c r="B551"/>
    </row>
    <row r="552" spans="1:2" hidden="1" x14ac:dyDescent="0.3">
      <c r="A552"/>
      <c r="B552"/>
    </row>
    <row r="553" spans="1:2" hidden="1" x14ac:dyDescent="0.3">
      <c r="A553"/>
      <c r="B553"/>
    </row>
    <row r="554" spans="1:2" hidden="1" x14ac:dyDescent="0.3">
      <c r="A554"/>
      <c r="B554"/>
    </row>
    <row r="555" spans="1:2" hidden="1" x14ac:dyDescent="0.3">
      <c r="A555"/>
      <c r="B555"/>
    </row>
    <row r="556" spans="1:2" hidden="1" x14ac:dyDescent="0.3">
      <c r="A556"/>
      <c r="B556"/>
    </row>
    <row r="557" spans="1:2" hidden="1" x14ac:dyDescent="0.3">
      <c r="A557"/>
      <c r="B557"/>
    </row>
    <row r="558" spans="1:2" hidden="1" x14ac:dyDescent="0.3">
      <c r="A558"/>
      <c r="B558"/>
    </row>
    <row r="559" spans="1:2" hidden="1" x14ac:dyDescent="0.3">
      <c r="A559"/>
      <c r="B559"/>
    </row>
    <row r="560" spans="1:2" hidden="1" x14ac:dyDescent="0.3">
      <c r="A560"/>
      <c r="B560"/>
    </row>
    <row r="561" spans="1:2" hidden="1" x14ac:dyDescent="0.3">
      <c r="A561"/>
      <c r="B561"/>
    </row>
    <row r="562" spans="1:2" hidden="1" x14ac:dyDescent="0.3">
      <c r="A562"/>
      <c r="B562"/>
    </row>
    <row r="563" spans="1:2" hidden="1" x14ac:dyDescent="0.3">
      <c r="A563"/>
      <c r="B563"/>
    </row>
    <row r="564" spans="1:2" hidden="1" x14ac:dyDescent="0.3">
      <c r="A564"/>
      <c r="B564"/>
    </row>
    <row r="565" spans="1:2" hidden="1" x14ac:dyDescent="0.3">
      <c r="A565"/>
      <c r="B565"/>
    </row>
    <row r="566" spans="1:2" hidden="1" x14ac:dyDescent="0.3">
      <c r="A566"/>
      <c r="B566"/>
    </row>
    <row r="567" spans="1:2" hidden="1" x14ac:dyDescent="0.3">
      <c r="A567"/>
      <c r="B567"/>
    </row>
    <row r="568" spans="1:2" hidden="1" x14ac:dyDescent="0.3">
      <c r="A568"/>
      <c r="B568"/>
    </row>
    <row r="569" spans="1:2" hidden="1" x14ac:dyDescent="0.3">
      <c r="A569"/>
      <c r="B569"/>
    </row>
    <row r="570" spans="1:2" hidden="1" x14ac:dyDescent="0.3">
      <c r="A570"/>
      <c r="B570"/>
    </row>
    <row r="571" spans="1:2" hidden="1" x14ac:dyDescent="0.3">
      <c r="A571"/>
      <c r="B571"/>
    </row>
    <row r="572" spans="1:2" hidden="1" x14ac:dyDescent="0.3">
      <c r="A572"/>
      <c r="B572"/>
    </row>
    <row r="573" spans="1:2" hidden="1" x14ac:dyDescent="0.3">
      <c r="A573"/>
      <c r="B573"/>
    </row>
    <row r="574" spans="1:2" hidden="1" x14ac:dyDescent="0.3">
      <c r="A574"/>
      <c r="B574"/>
    </row>
    <row r="575" spans="1:2" hidden="1" x14ac:dyDescent="0.3">
      <c r="A575"/>
      <c r="B575"/>
    </row>
    <row r="576" spans="1:2" hidden="1" x14ac:dyDescent="0.3">
      <c r="A576"/>
      <c r="B576"/>
    </row>
    <row r="577" spans="1:2" hidden="1" x14ac:dyDescent="0.3">
      <c r="A577"/>
      <c r="B577"/>
    </row>
    <row r="578" spans="1:2" hidden="1" x14ac:dyDescent="0.3">
      <c r="A578"/>
      <c r="B578"/>
    </row>
    <row r="579" spans="1:2" hidden="1" x14ac:dyDescent="0.3">
      <c r="A579"/>
      <c r="B579"/>
    </row>
    <row r="580" spans="1:2" hidden="1" x14ac:dyDescent="0.3">
      <c r="A580"/>
      <c r="B580"/>
    </row>
    <row r="581" spans="1:2" hidden="1" x14ac:dyDescent="0.3">
      <c r="A581"/>
      <c r="B581"/>
    </row>
    <row r="582" spans="1:2" hidden="1" x14ac:dyDescent="0.3">
      <c r="A582"/>
      <c r="B582"/>
    </row>
    <row r="583" spans="1:2" hidden="1" x14ac:dyDescent="0.3">
      <c r="A583"/>
      <c r="B583"/>
    </row>
    <row r="584" spans="1:2" hidden="1" x14ac:dyDescent="0.3">
      <c r="A584"/>
      <c r="B584"/>
    </row>
    <row r="585" spans="1:2" hidden="1" x14ac:dyDescent="0.3">
      <c r="A585"/>
      <c r="B585"/>
    </row>
    <row r="586" spans="1:2" hidden="1" x14ac:dyDescent="0.3">
      <c r="A586"/>
      <c r="B586"/>
    </row>
    <row r="587" spans="1:2" hidden="1" x14ac:dyDescent="0.3">
      <c r="A587"/>
      <c r="B587"/>
    </row>
    <row r="588" spans="1:2" hidden="1" x14ac:dyDescent="0.3">
      <c r="A588"/>
      <c r="B588"/>
    </row>
    <row r="589" spans="1:2" hidden="1" x14ac:dyDescent="0.3">
      <c r="A589"/>
      <c r="B589"/>
    </row>
    <row r="590" spans="1:2" hidden="1" x14ac:dyDescent="0.3">
      <c r="A590"/>
      <c r="B590"/>
    </row>
    <row r="591" spans="1:2" hidden="1" x14ac:dyDescent="0.3">
      <c r="A591"/>
      <c r="B591"/>
    </row>
    <row r="592" spans="1:2" hidden="1" x14ac:dyDescent="0.3">
      <c r="A592"/>
      <c r="B592"/>
    </row>
    <row r="593" spans="1:2" hidden="1" x14ac:dyDescent="0.3">
      <c r="A593"/>
      <c r="B593"/>
    </row>
    <row r="594" spans="1:2" hidden="1" x14ac:dyDescent="0.3">
      <c r="A594"/>
      <c r="B594"/>
    </row>
    <row r="595" spans="1:2" hidden="1" x14ac:dyDescent="0.3">
      <c r="A595"/>
      <c r="B595"/>
    </row>
    <row r="596" spans="1:2" hidden="1" x14ac:dyDescent="0.3">
      <c r="A596"/>
      <c r="B596"/>
    </row>
    <row r="597" spans="1:2" hidden="1" x14ac:dyDescent="0.3">
      <c r="A597"/>
      <c r="B597"/>
    </row>
    <row r="598" spans="1:2" hidden="1" x14ac:dyDescent="0.3">
      <c r="A598"/>
      <c r="B598"/>
    </row>
    <row r="599" spans="1:2" hidden="1" x14ac:dyDescent="0.3">
      <c r="A599"/>
      <c r="B599"/>
    </row>
    <row r="600" spans="1:2" hidden="1" x14ac:dyDescent="0.3">
      <c r="A600"/>
      <c r="B600"/>
    </row>
    <row r="601" spans="1:2" hidden="1" x14ac:dyDescent="0.3">
      <c r="A601"/>
      <c r="B601"/>
    </row>
    <row r="602" spans="1:2" hidden="1" x14ac:dyDescent="0.3">
      <c r="A602"/>
      <c r="B602"/>
    </row>
    <row r="603" spans="1:2" hidden="1" x14ac:dyDescent="0.3">
      <c r="A603"/>
      <c r="B603"/>
    </row>
    <row r="604" spans="1:2" hidden="1" x14ac:dyDescent="0.3">
      <c r="A604"/>
      <c r="B604"/>
    </row>
    <row r="605" spans="1:2" hidden="1" x14ac:dyDescent="0.3">
      <c r="A605"/>
      <c r="B605"/>
    </row>
    <row r="606" spans="1:2" hidden="1" x14ac:dyDescent="0.3">
      <c r="A606"/>
      <c r="B606"/>
    </row>
    <row r="607" spans="1:2" hidden="1" x14ac:dyDescent="0.3">
      <c r="A607"/>
      <c r="B607"/>
    </row>
    <row r="608" spans="1:2" hidden="1" x14ac:dyDescent="0.3">
      <c r="A608"/>
      <c r="B608"/>
    </row>
    <row r="609" spans="1:2" hidden="1" x14ac:dyDescent="0.3">
      <c r="A609"/>
      <c r="B609"/>
    </row>
    <row r="610" spans="1:2" hidden="1" x14ac:dyDescent="0.3">
      <c r="A610"/>
      <c r="B610"/>
    </row>
    <row r="611" spans="1:2" hidden="1" x14ac:dyDescent="0.3">
      <c r="A611"/>
      <c r="B611"/>
    </row>
    <row r="612" spans="1:2" hidden="1" x14ac:dyDescent="0.3">
      <c r="A612"/>
      <c r="B612"/>
    </row>
    <row r="613" spans="1:2" hidden="1" x14ac:dyDescent="0.3">
      <c r="A613"/>
      <c r="B613"/>
    </row>
    <row r="614" spans="1:2" hidden="1" x14ac:dyDescent="0.3">
      <c r="A614"/>
      <c r="B614"/>
    </row>
    <row r="615" spans="1:2" hidden="1" x14ac:dyDescent="0.3">
      <c r="A615"/>
      <c r="B615"/>
    </row>
    <row r="616" spans="1:2" hidden="1" x14ac:dyDescent="0.3">
      <c r="A616"/>
      <c r="B616"/>
    </row>
    <row r="617" spans="1:2" hidden="1" x14ac:dyDescent="0.3">
      <c r="A617"/>
      <c r="B617"/>
    </row>
    <row r="618" spans="1:2" hidden="1" x14ac:dyDescent="0.3">
      <c r="A618"/>
      <c r="B618"/>
    </row>
    <row r="619" spans="1:2" hidden="1" x14ac:dyDescent="0.3">
      <c r="A619"/>
      <c r="B619"/>
    </row>
    <row r="620" spans="1:2" hidden="1" x14ac:dyDescent="0.3">
      <c r="A620"/>
      <c r="B620"/>
    </row>
    <row r="621" spans="1:2" hidden="1" x14ac:dyDescent="0.3">
      <c r="A621"/>
      <c r="B621"/>
    </row>
    <row r="622" spans="1:2" hidden="1" x14ac:dyDescent="0.3">
      <c r="A622"/>
      <c r="B622"/>
    </row>
    <row r="623" spans="1:2" hidden="1" x14ac:dyDescent="0.3">
      <c r="A623"/>
      <c r="B623"/>
    </row>
    <row r="624" spans="1:2" hidden="1" x14ac:dyDescent="0.3">
      <c r="A624"/>
      <c r="B624"/>
    </row>
    <row r="625" spans="1:2" hidden="1" x14ac:dyDescent="0.3">
      <c r="A625"/>
      <c r="B625"/>
    </row>
    <row r="626" spans="1:2" hidden="1" x14ac:dyDescent="0.3">
      <c r="A626"/>
      <c r="B626"/>
    </row>
    <row r="627" spans="1:2" hidden="1" x14ac:dyDescent="0.3">
      <c r="A627"/>
      <c r="B627"/>
    </row>
    <row r="628" spans="1:2" hidden="1" x14ac:dyDescent="0.3">
      <c r="A628"/>
      <c r="B628"/>
    </row>
    <row r="629" spans="1:2" hidden="1" x14ac:dyDescent="0.3">
      <c r="A629"/>
      <c r="B629"/>
    </row>
    <row r="630" spans="1:2" hidden="1" x14ac:dyDescent="0.3">
      <c r="A630"/>
      <c r="B630"/>
    </row>
    <row r="631" spans="1:2" hidden="1" x14ac:dyDescent="0.3">
      <c r="A631"/>
      <c r="B631"/>
    </row>
    <row r="632" spans="1:2" hidden="1" x14ac:dyDescent="0.3">
      <c r="A632"/>
      <c r="B632"/>
    </row>
    <row r="633" spans="1:2" hidden="1" x14ac:dyDescent="0.3">
      <c r="A633"/>
      <c r="B633"/>
    </row>
    <row r="634" spans="1:2" hidden="1" x14ac:dyDescent="0.3">
      <c r="A634"/>
      <c r="B634"/>
    </row>
    <row r="635" spans="1:2" hidden="1" x14ac:dyDescent="0.3">
      <c r="A635"/>
      <c r="B635"/>
    </row>
    <row r="636" spans="1:2" hidden="1" x14ac:dyDescent="0.3">
      <c r="A636"/>
      <c r="B636"/>
    </row>
    <row r="637" spans="1:2" hidden="1" x14ac:dyDescent="0.3">
      <c r="A637"/>
      <c r="B637"/>
    </row>
    <row r="638" spans="1:2" hidden="1" x14ac:dyDescent="0.3">
      <c r="A638"/>
      <c r="B638"/>
    </row>
    <row r="639" spans="1:2" hidden="1" x14ac:dyDescent="0.3">
      <c r="A639"/>
      <c r="B639"/>
    </row>
    <row r="640" spans="1:2" hidden="1" x14ac:dyDescent="0.3">
      <c r="A640"/>
      <c r="B640"/>
    </row>
    <row r="641" spans="1:2" hidden="1" x14ac:dyDescent="0.3">
      <c r="A641"/>
      <c r="B641"/>
    </row>
    <row r="642" spans="1:2" hidden="1" x14ac:dyDescent="0.3">
      <c r="A642"/>
      <c r="B642"/>
    </row>
    <row r="643" spans="1:2" hidden="1" x14ac:dyDescent="0.3">
      <c r="A643"/>
      <c r="B643"/>
    </row>
    <row r="644" spans="1:2" hidden="1" x14ac:dyDescent="0.3">
      <c r="A644"/>
      <c r="B644"/>
    </row>
    <row r="645" spans="1:2" hidden="1" x14ac:dyDescent="0.3">
      <c r="A645"/>
      <c r="B645"/>
    </row>
    <row r="646" spans="1:2" hidden="1" x14ac:dyDescent="0.3">
      <c r="A646"/>
      <c r="B646"/>
    </row>
    <row r="647" spans="1:2" hidden="1" x14ac:dyDescent="0.3">
      <c r="A647"/>
      <c r="B647"/>
    </row>
    <row r="648" spans="1:2" hidden="1" x14ac:dyDescent="0.3">
      <c r="A648"/>
      <c r="B648"/>
    </row>
    <row r="649" spans="1:2" hidden="1" x14ac:dyDescent="0.3">
      <c r="A649"/>
      <c r="B649"/>
    </row>
    <row r="650" spans="1:2" hidden="1" x14ac:dyDescent="0.3">
      <c r="A650"/>
      <c r="B650"/>
    </row>
    <row r="651" spans="1:2" hidden="1" x14ac:dyDescent="0.3">
      <c r="A651"/>
      <c r="B651"/>
    </row>
    <row r="652" spans="1:2" hidden="1" x14ac:dyDescent="0.3">
      <c r="A652"/>
      <c r="B652"/>
    </row>
    <row r="653" spans="1:2" hidden="1" x14ac:dyDescent="0.3">
      <c r="A653"/>
      <c r="B653"/>
    </row>
    <row r="654" spans="1:2" hidden="1" x14ac:dyDescent="0.3">
      <c r="A654"/>
      <c r="B654"/>
    </row>
    <row r="655" spans="1:2" hidden="1" x14ac:dyDescent="0.3">
      <c r="A655"/>
      <c r="B655"/>
    </row>
    <row r="656" spans="1:2" hidden="1" x14ac:dyDescent="0.3">
      <c r="A656"/>
      <c r="B656"/>
    </row>
    <row r="657" spans="1:2" hidden="1" x14ac:dyDescent="0.3">
      <c r="A657"/>
      <c r="B657"/>
    </row>
    <row r="658" spans="1:2" hidden="1" x14ac:dyDescent="0.3">
      <c r="A658"/>
      <c r="B658"/>
    </row>
    <row r="659" spans="1:2" hidden="1" x14ac:dyDescent="0.3">
      <c r="A659"/>
      <c r="B659"/>
    </row>
    <row r="660" spans="1:2" hidden="1" x14ac:dyDescent="0.3">
      <c r="A660"/>
      <c r="B660"/>
    </row>
    <row r="661" spans="1:2" hidden="1" x14ac:dyDescent="0.3">
      <c r="A661"/>
      <c r="B661"/>
    </row>
    <row r="662" spans="1:2" hidden="1" x14ac:dyDescent="0.3">
      <c r="A662"/>
      <c r="B662"/>
    </row>
    <row r="663" spans="1:2" hidden="1" x14ac:dyDescent="0.3">
      <c r="A663"/>
      <c r="B663"/>
    </row>
    <row r="664" spans="1:2" hidden="1" x14ac:dyDescent="0.3">
      <c r="A664"/>
      <c r="B664"/>
    </row>
    <row r="665" spans="1:2" hidden="1" x14ac:dyDescent="0.3">
      <c r="A665"/>
      <c r="B665"/>
    </row>
    <row r="666" spans="1:2" hidden="1" x14ac:dyDescent="0.3">
      <c r="A666"/>
      <c r="B666"/>
    </row>
    <row r="667" spans="1:2" hidden="1" x14ac:dyDescent="0.3">
      <c r="A667"/>
      <c r="B667"/>
    </row>
    <row r="668" spans="1:2" hidden="1" x14ac:dyDescent="0.3">
      <c r="A668"/>
      <c r="B668"/>
    </row>
    <row r="669" spans="1:2" hidden="1" x14ac:dyDescent="0.3">
      <c r="A669"/>
      <c r="B669"/>
    </row>
    <row r="670" spans="1:2" hidden="1" x14ac:dyDescent="0.3">
      <c r="A670"/>
      <c r="B670"/>
    </row>
    <row r="671" spans="1:2" hidden="1" x14ac:dyDescent="0.3">
      <c r="A671"/>
      <c r="B671"/>
    </row>
    <row r="672" spans="1:2" hidden="1" x14ac:dyDescent="0.3">
      <c r="A672"/>
      <c r="B672"/>
    </row>
    <row r="673" spans="1:2" hidden="1" x14ac:dyDescent="0.3">
      <c r="A673"/>
      <c r="B673"/>
    </row>
    <row r="674" spans="1:2" hidden="1" x14ac:dyDescent="0.3">
      <c r="A674"/>
      <c r="B674"/>
    </row>
    <row r="675" spans="1:2" hidden="1" x14ac:dyDescent="0.3">
      <c r="A675"/>
      <c r="B675"/>
    </row>
    <row r="676" spans="1:2" hidden="1" x14ac:dyDescent="0.3">
      <c r="A676"/>
      <c r="B676"/>
    </row>
    <row r="677" spans="1:2" hidden="1" x14ac:dyDescent="0.3">
      <c r="A677"/>
      <c r="B677"/>
    </row>
    <row r="678" spans="1:2" hidden="1" x14ac:dyDescent="0.3">
      <c r="A678"/>
      <c r="B678"/>
    </row>
    <row r="679" spans="1:2" hidden="1" x14ac:dyDescent="0.3">
      <c r="A679"/>
      <c r="B679"/>
    </row>
    <row r="680" spans="1:2" hidden="1" x14ac:dyDescent="0.3">
      <c r="A680"/>
      <c r="B680"/>
    </row>
    <row r="681" spans="1:2" hidden="1" x14ac:dyDescent="0.3">
      <c r="A681"/>
      <c r="B681"/>
    </row>
    <row r="682" spans="1:2" hidden="1" x14ac:dyDescent="0.3">
      <c r="A682"/>
      <c r="B682"/>
    </row>
    <row r="683" spans="1:2" hidden="1" x14ac:dyDescent="0.3">
      <c r="A683"/>
      <c r="B683"/>
    </row>
    <row r="684" spans="1:2" hidden="1" x14ac:dyDescent="0.3">
      <c r="A684"/>
      <c r="B684"/>
    </row>
    <row r="685" spans="1:2" hidden="1" x14ac:dyDescent="0.3">
      <c r="A685"/>
      <c r="B685"/>
    </row>
    <row r="686" spans="1:2" hidden="1" x14ac:dyDescent="0.3">
      <c r="A686"/>
      <c r="B686"/>
    </row>
    <row r="687" spans="1:2" hidden="1" x14ac:dyDescent="0.3">
      <c r="A687"/>
      <c r="B687"/>
    </row>
    <row r="688" spans="1:2" hidden="1" x14ac:dyDescent="0.3">
      <c r="A688"/>
      <c r="B688"/>
    </row>
    <row r="689" spans="1:2" hidden="1" x14ac:dyDescent="0.3">
      <c r="A689"/>
      <c r="B689"/>
    </row>
    <row r="690" spans="1:2" hidden="1" x14ac:dyDescent="0.3">
      <c r="A690"/>
      <c r="B690"/>
    </row>
    <row r="691" spans="1:2" hidden="1" x14ac:dyDescent="0.3">
      <c r="A691"/>
      <c r="B691"/>
    </row>
    <row r="692" spans="1:2" hidden="1" x14ac:dyDescent="0.3">
      <c r="A692"/>
      <c r="B692"/>
    </row>
    <row r="693" spans="1:2" hidden="1" x14ac:dyDescent="0.3">
      <c r="A693"/>
      <c r="B693"/>
    </row>
    <row r="694" spans="1:2" hidden="1" x14ac:dyDescent="0.3">
      <c r="A694"/>
      <c r="B694"/>
    </row>
    <row r="695" spans="1:2" hidden="1" x14ac:dyDescent="0.3">
      <c r="A695"/>
      <c r="B695"/>
    </row>
    <row r="696" spans="1:2" x14ac:dyDescent="0.3"/>
  </sheetData>
  <conditionalFormatting sqref="F19:F20">
    <cfRule type="dataBar" priority="1">
      <dataBar>
        <cfvo type="num" val="0"/>
        <cfvo type="num" val="1"/>
        <color rgb="FFD0DAF0"/>
      </dataBar>
      <extLst>
        <ext xmlns:x14="http://schemas.microsoft.com/office/spreadsheetml/2009/9/main" uri="{B025F937-C7B1-47D3-B67F-A62EFF666E3E}">
          <x14:id>{4373793E-8EB6-4577-AEBB-F12A280FDC0C}</x14:id>
        </ext>
      </extLst>
    </cfRule>
  </conditionalFormatting>
  <dataValidations count="1">
    <dataValidation allowBlank="1" showInputMessage="1" showErrorMessage="1" prompt="Changes cannot be made in this sheet. Please make changes in the appropriate &quot;Evaluation&quot; tab." sqref="F18:F1048576 N1:XFD1048576 H1:M8 A3:A1048576 D16:E1048576 D1:F8 B1:C1048576 A1 H23:M1048576" xr:uid="{36BF213B-03D0-4A95-8EB1-10E728187E1D}"/>
  </dataValidations>
  <hyperlinks>
    <hyperlink ref="A8" r:id="rId1" xr:uid="{F73DD09B-D0E9-4385-8CEE-B15F56B571D1}"/>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373793E-8EB6-4577-AEBB-F12A280FDC0C}">
            <x14:dataBar minLength="0" maxLength="100" gradient="0" direction="leftToRight" axisPosition="none">
              <x14:cfvo type="num">
                <xm:f>0</xm:f>
              </x14:cfvo>
              <x14:cfvo type="num">
                <xm:f>1</xm:f>
              </x14:cfvo>
              <x14:negativeFillColor rgb="FFFF0000"/>
            </x14:dataBar>
          </x14:cfRule>
          <xm:sqref>F19:F20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E711-DCEB-46E4-B77C-742263AC90F3}">
  <sheetPr>
    <tabColor rgb="FFE0B233"/>
  </sheetPr>
  <dimension ref="A1:N265"/>
  <sheetViews>
    <sheetView showGridLines="0" showZeros="0" topLeftCell="A2" zoomScale="80" zoomScaleNormal="80" workbookViewId="0">
      <selection activeCell="A58" sqref="A58"/>
    </sheetView>
  </sheetViews>
  <sheetFormatPr defaultColWidth="0" defaultRowHeight="0" customHeight="1" zeroHeight="1" x14ac:dyDescent="0.3"/>
  <cols>
    <col min="1" max="1" width="18.796875" style="62" customWidth="1"/>
    <col min="2" max="2" width="41.3984375" style="62" customWidth="1"/>
    <col min="3" max="9" width="19.59765625" style="62" customWidth="1"/>
    <col min="10" max="10" width="18.796875" style="62" customWidth="1"/>
    <col min="11" max="11" width="16.06640625" style="62" hidden="1" customWidth="1"/>
    <col min="12" max="12" width="8.46484375" style="62" customWidth="1"/>
    <col min="13" max="13" width="0" style="62" hidden="1" customWidth="1"/>
    <col min="14" max="16384" width="8.46484375" style="62" hidden="1"/>
  </cols>
  <sheetData>
    <row r="1" spans="1:10" ht="23.25" hidden="1" customHeight="1" x14ac:dyDescent="0.3">
      <c r="A1" s="62" t="s">
        <v>1534</v>
      </c>
    </row>
    <row r="2" spans="1:10" s="185" customFormat="1" ht="36" customHeight="1" x14ac:dyDescent="0.3">
      <c r="A2" s="183" t="s">
        <v>1564</v>
      </c>
      <c r="B2" s="183"/>
      <c r="C2" s="183"/>
      <c r="D2" s="183"/>
      <c r="E2" s="183"/>
      <c r="F2" s="183"/>
      <c r="G2" s="183"/>
      <c r="H2" s="183"/>
      <c r="I2" s="184" t="str">
        <f>'Auto Responses'!$A$36</f>
        <v>Version 4.1.0</v>
      </c>
      <c r="J2" s="184"/>
    </row>
    <row r="3" spans="1:10" ht="21" customHeight="1" x14ac:dyDescent="0.3">
      <c r="A3" s="105"/>
      <c r="B3" s="105"/>
      <c r="C3" s="105"/>
      <c r="D3" s="105"/>
      <c r="E3" s="105"/>
      <c r="F3" s="105"/>
      <c r="G3" s="105"/>
      <c r="H3" s="105"/>
      <c r="I3" s="105"/>
      <c r="J3" s="105"/>
    </row>
    <row r="4" spans="1:10" ht="36" customHeight="1" x14ac:dyDescent="0.3">
      <c r="A4" s="106" t="s">
        <v>922</v>
      </c>
      <c r="B4" s="107"/>
      <c r="C4" s="107"/>
      <c r="D4" s="107"/>
      <c r="E4" s="107"/>
      <c r="F4" s="107"/>
      <c r="G4" s="107"/>
      <c r="H4" s="107"/>
      <c r="I4" s="107"/>
      <c r="J4" s="107"/>
    </row>
    <row r="5" spans="1:10" s="289" customFormat="1" ht="19.5" customHeight="1" x14ac:dyDescent="0.3">
      <c r="A5" s="269" t="str">
        <f>HLOOKUP($A$4,'Auto Responses'!$F$2:$F$7,2,0)&amp;""</f>
        <v>1. Upon initial review, you can check the "Non-Negotiable" box by any question to compile a report of questions that may prohibit a full review.</v>
      </c>
      <c r="B5" s="269"/>
      <c r="C5" s="269"/>
      <c r="D5" s="269"/>
      <c r="E5" s="269"/>
      <c r="F5" s="269"/>
      <c r="G5" s="269"/>
      <c r="H5" s="269"/>
      <c r="I5" s="269"/>
      <c r="J5" s="269"/>
    </row>
    <row r="6" spans="1:10" s="289" customFormat="1" ht="19.5" customHeight="1" x14ac:dyDescent="0.3">
      <c r="A6" s="269" t="str">
        <f>HLOOKUP($A$4,'Auto Responses'!$F$2:$F$7,3,0)&amp;""</f>
        <v>2. When evaluating an answer, a default importance level has been set. You can use the "Importance Override" dropdown to override the default and adjust the value of the question.</v>
      </c>
      <c r="B6" s="269"/>
      <c r="C6" s="269"/>
      <c r="D6" s="269"/>
      <c r="E6" s="269"/>
      <c r="F6" s="269"/>
      <c r="G6" s="269"/>
      <c r="H6" s="269"/>
      <c r="I6" s="269"/>
      <c r="J6" s="269"/>
    </row>
    <row r="7" spans="1:10" s="289" customFormat="1" ht="19.5" customHeight="1" x14ac:dyDescent="0.3">
      <c r="A7" s="269" t="str">
        <f>HLOOKUP($A$4,'Auto Responses'!$F$2:$F$7,4,0)&amp;""</f>
        <v>3. For questions that are qualitative or for which you disagree with the preferred response, make a selection in the "Compliant Override" dropdown to adjust the question's impact on the score.</v>
      </c>
      <c r="B7" s="269"/>
      <c r="C7" s="269"/>
      <c r="D7" s="269"/>
      <c r="E7" s="269"/>
      <c r="F7" s="269"/>
      <c r="G7" s="269"/>
      <c r="H7" s="269"/>
      <c r="I7" s="269"/>
      <c r="J7" s="269"/>
    </row>
    <row r="8" spans="1:10" s="289" customFormat="1" ht="19.5" customHeight="1" x14ac:dyDescent="0.3">
      <c r="A8" s="269" t="str">
        <f>HLOOKUP($A$4,'Auto Responses'!$F$2:$F$7,5,0)&amp;""</f>
        <v xml:space="preserve">4. Each worksheet shows a report for that section. See the "Analyst Report" sheet for a full report of all sections. </v>
      </c>
      <c r="B8" s="269"/>
      <c r="C8" s="269"/>
      <c r="D8" s="269"/>
      <c r="E8" s="269"/>
      <c r="F8" s="269"/>
      <c r="G8" s="269"/>
      <c r="H8" s="269"/>
      <c r="I8" s="269"/>
      <c r="J8" s="269"/>
    </row>
    <row r="9" spans="1:10" s="289" customFormat="1" ht="19.5" customHeight="1" x14ac:dyDescent="0.3">
      <c r="A9" s="269" t="str">
        <f>HLOOKUP($A$4,'Auto Responses'!$F$2:$F$7,6,0)&amp;""</f>
        <v xml:space="preserve">5. If you are evaluating a question that appears in an earlier section, the Importance and Compliant Override cannot be changed but additional notes can be added. </v>
      </c>
      <c r="B9" s="269"/>
      <c r="C9" s="269"/>
      <c r="D9" s="269"/>
      <c r="E9" s="269"/>
      <c r="F9" s="269"/>
      <c r="G9" s="269"/>
      <c r="H9" s="269"/>
      <c r="I9" s="269"/>
      <c r="J9" s="269"/>
    </row>
    <row r="10" spans="1:10" ht="19.5" customHeight="1" thickBot="1" x14ac:dyDescent="0.35">
      <c r="A10" s="270" t="str">
        <f>HLOOKUP($A$4,'Auto Responses'!$F$2:$F$8,7,0)&amp;""</f>
        <v>For full instructions, please visit EDUCAUSE.edu/HECVAT</v>
      </c>
      <c r="B10" s="68"/>
      <c r="C10" s="68"/>
      <c r="D10" s="68"/>
      <c r="E10" s="68"/>
      <c r="F10" s="68"/>
      <c r="G10" s="68"/>
      <c r="H10" s="68"/>
      <c r="I10" s="68"/>
      <c r="J10" s="68"/>
    </row>
    <row r="11" spans="1:10" s="96" customFormat="1" ht="25.5" customHeight="1" x14ac:dyDescent="0.3">
      <c r="A11" s="163" t="str">
        <f>'START HERE'!$B$13</f>
        <v>Solution Provider Name</v>
      </c>
      <c r="B11" s="149"/>
      <c r="C11" s="143" t="str">
        <f>VLOOKUP($A11,'START HERE'!$B$13:$C$21,2,0)&amp;""</f>
        <v xml:space="preserve">Cirrus Identity </v>
      </c>
      <c r="D11" s="144"/>
      <c r="E11" s="145"/>
      <c r="F11" s="97"/>
      <c r="G11" s="97"/>
      <c r="H11" s="102"/>
      <c r="I11" s="97"/>
      <c r="J11" s="97"/>
    </row>
    <row r="12" spans="1:10" s="96" customFormat="1" ht="25.5" customHeight="1" x14ac:dyDescent="0.3">
      <c r="A12" s="164" t="str">
        <f>'START HERE'!$B$16</f>
        <v>Solution Provider Contact Name</v>
      </c>
      <c r="B12" s="150"/>
      <c r="C12" s="142" t="str">
        <f>VLOOKUP($A12,'START HERE'!$B$13:$C$21,2,0)&amp;""</f>
        <v xml:space="preserve">Mark Rank </v>
      </c>
      <c r="D12" s="104"/>
      <c r="E12" s="146"/>
      <c r="F12" s="97"/>
      <c r="G12" s="97"/>
      <c r="H12" s="102"/>
      <c r="I12" s="97"/>
      <c r="J12" s="97"/>
    </row>
    <row r="13" spans="1:10" s="96" customFormat="1" ht="25.5" customHeight="1" x14ac:dyDescent="0.3">
      <c r="A13" s="164" t="str">
        <f>'START HERE'!$B$17</f>
        <v>Solution Provider Contact Title</v>
      </c>
      <c r="B13" s="150"/>
      <c r="C13" s="142" t="str">
        <f>VLOOKUP($A13,'START HERE'!$B$13:$C$21,2,0)&amp;""</f>
        <v>Director of Compliance and Strategic Insights</v>
      </c>
      <c r="D13" s="104"/>
      <c r="E13" s="146"/>
      <c r="F13" s="97"/>
      <c r="G13" s="97"/>
      <c r="H13" s="102"/>
      <c r="I13" s="97"/>
      <c r="J13" s="97"/>
    </row>
    <row r="14" spans="1:10" s="96" customFormat="1" ht="25.5" customHeight="1" x14ac:dyDescent="0.3">
      <c r="A14" s="164" t="str">
        <f>'START HERE'!$B$18</f>
        <v>Solution Provider Contact Email</v>
      </c>
      <c r="B14" s="150"/>
      <c r="C14" s="142" t="str">
        <f>VLOOKUP($A14,'START HERE'!$B$13:$C$21,2,0)&amp;""</f>
        <v>mark.rank@cirrusidentity.com</v>
      </c>
      <c r="D14" s="104"/>
      <c r="E14" s="146"/>
      <c r="F14" s="140"/>
      <c r="G14" s="141"/>
      <c r="H14" s="141"/>
      <c r="I14" s="141"/>
      <c r="J14" s="141"/>
    </row>
    <row r="15" spans="1:10" s="96" customFormat="1" ht="25.5" customHeight="1" x14ac:dyDescent="0.3">
      <c r="A15" s="164" t="str">
        <f>'START HERE'!$B$14</f>
        <v>Solution Name</v>
      </c>
      <c r="B15" s="150"/>
      <c r="C15" s="142" t="str">
        <f>VLOOKUP($A15,'START HERE'!$B$13:$C$21,2,0)&amp;""</f>
        <v>Cirrus Identity Gateway, Cirrus Identity Proxy, Cirrus Identity Bridge, Cirrus Identity Attribute Authority, Cirrus Identity Invitation, Cirrus Identity Account Linking, Cirrus Identity OrgBrandedID, and Cirrus Identity MFA -- Collective referred to as Cirrus Identity Products</v>
      </c>
      <c r="D15" s="104"/>
      <c r="E15" s="146"/>
      <c r="F15" s="140"/>
      <c r="G15" s="141"/>
      <c r="H15" s="141"/>
      <c r="I15" s="141"/>
      <c r="J15" s="141"/>
    </row>
    <row r="16" spans="1:10" s="96" customFormat="1" ht="25.5" customHeight="1" x14ac:dyDescent="0.3">
      <c r="A16" s="164" t="str">
        <f>'START HERE'!$B$15</f>
        <v>Solution Description</v>
      </c>
      <c r="B16" s="150"/>
      <c r="C16" s="142" t="str">
        <f>VLOOKUP($A16,'START HERE'!$B$13:$C$21,2,0)&amp;""</f>
        <v>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v>
      </c>
      <c r="D16" s="104"/>
      <c r="E16" s="146"/>
      <c r="F16" s="140"/>
      <c r="G16" s="141"/>
      <c r="H16" s="141"/>
      <c r="I16" s="141"/>
      <c r="J16" s="141"/>
    </row>
    <row r="17" spans="1:11" s="96" customFormat="1" ht="25.5" customHeight="1" thickBot="1" x14ac:dyDescent="0.35">
      <c r="A17" s="165" t="s">
        <v>1004</v>
      </c>
      <c r="B17" s="151"/>
      <c r="C17" s="362">
        <f>'START HERE'!$C$3</f>
        <v>45894</v>
      </c>
      <c r="D17" s="147"/>
      <c r="E17" s="148"/>
      <c r="F17" s="140"/>
      <c r="G17" s="141"/>
      <c r="H17" s="141"/>
      <c r="I17" s="141"/>
      <c r="J17" s="141"/>
    </row>
    <row r="18" spans="1:11" s="96" customFormat="1" ht="24.75" customHeight="1" x14ac:dyDescent="0.3">
      <c r="A18" s="97"/>
      <c r="B18" s="97"/>
      <c r="C18" s="277"/>
      <c r="D18" s="103"/>
      <c r="E18" s="97"/>
      <c r="F18" s="97"/>
      <c r="G18" s="97"/>
      <c r="H18" s="98"/>
      <c r="I18" s="98"/>
      <c r="J18" s="98"/>
    </row>
    <row r="19" spans="1:11" s="94" customFormat="1" ht="24" customHeight="1" thickBot="1" x14ac:dyDescent="0.35">
      <c r="A19" s="363"/>
      <c r="B19" s="363"/>
      <c r="C19" s="363"/>
      <c r="D19" s="95"/>
    </row>
    <row r="20" spans="1:11" ht="30" customHeight="1" thickBot="1" x14ac:dyDescent="0.35">
      <c r="A20" s="290" t="s">
        <v>1596</v>
      </c>
      <c r="B20" s="90" t="s">
        <v>1003</v>
      </c>
      <c r="C20" s="117" t="s">
        <v>1597</v>
      </c>
      <c r="D20" s="89" t="s">
        <v>1598</v>
      </c>
      <c r="E20" s="116" t="s">
        <v>1002</v>
      </c>
      <c r="F20" s="116" t="s">
        <v>1001</v>
      </c>
      <c r="G20" s="132" t="s">
        <v>1023</v>
      </c>
      <c r="H20" s="133"/>
      <c r="I20" s="134"/>
    </row>
    <row r="21" spans="1:11" s="91" customFormat="1" ht="40.5" customHeight="1" x14ac:dyDescent="0.3">
      <c r="B21" s="92" t="str">
        <f>VLOOKUP($K21,'Auto Responses'!$N$4:$O$38,2,0)&amp;""</f>
        <v xml:space="preserve"> General Privacy</v>
      </c>
      <c r="C21" s="124" t="b">
        <v>1</v>
      </c>
      <c r="D21" s="118">
        <f>IF($C21=TRUE,SUMIF('(backend scoring)'!$B$3:$B$333,$K21,'(backend scoring)'!$O$3:$O$333),"")</f>
        <v>0</v>
      </c>
      <c r="E21" s="125">
        <f>IF($C21=TRUE,SUMIF('(backend scoring)'!$B$3:$B$333,$K21,'(backend scoring)'!$P$3:$P$333),"")</f>
        <v>0</v>
      </c>
      <c r="F21" s="153" t="str">
        <f>IFERROR($E21/$D21,"N/A")</f>
        <v>N/A</v>
      </c>
      <c r="G21" s="229" t="str">
        <f>"Jump to "&amp;B21</f>
        <v>Jump to  General Privacy</v>
      </c>
      <c r="H21" s="127"/>
      <c r="I21" s="129"/>
      <c r="K21" s="91" t="s">
        <v>963</v>
      </c>
    </row>
    <row r="22" spans="1:11" s="91" customFormat="1" ht="40.5" customHeight="1" x14ac:dyDescent="0.3">
      <c r="B22" s="92" t="str">
        <f>VLOOKUP($K22,'Auto Responses'!$N$4:$O$38,2,0)&amp;""</f>
        <v xml:space="preserve"> Privacy-Specific Company Details</v>
      </c>
      <c r="C22" s="124" t="b">
        <v>1</v>
      </c>
      <c r="D22" s="118">
        <f>IF($C22=TRUE,SUMIF('(backend scoring)'!$B$3:$B$333,$K22,'(backend scoring)'!$O$3:$O$333),"")</f>
        <v>30</v>
      </c>
      <c r="E22" s="125">
        <f>IF($C22=TRUE,SUMIF('(backend scoring)'!$B$3:$B$333,$K22,'(backend scoring)'!$P$3:$P$333),"")</f>
        <v>25</v>
      </c>
      <c r="F22" s="152">
        <f t="shared" ref="F22:F30" si="0">IFERROR($E22/$D22,"N/A")</f>
        <v>0.83333333333333337</v>
      </c>
      <c r="G22" s="230" t="str">
        <f t="shared" ref="G22:G30" si="1">"Jump to "&amp;B22</f>
        <v>Jump to  Privacy-Specific Company Details</v>
      </c>
      <c r="H22" s="126"/>
      <c r="I22" s="130"/>
      <c r="K22" s="91" t="s">
        <v>965</v>
      </c>
    </row>
    <row r="23" spans="1:11" s="91" customFormat="1" ht="40.5" customHeight="1" x14ac:dyDescent="0.3">
      <c r="B23" s="92" t="str">
        <f>VLOOKUP($K23,'Auto Responses'!$N$4:$O$38,2,0)&amp;""</f>
        <v xml:space="preserve"> Privacy-Specific Documentation</v>
      </c>
      <c r="C23" s="124" t="b">
        <v>1</v>
      </c>
      <c r="D23" s="118">
        <f>IF($C23=TRUE,SUMIF('(backend scoring)'!$B$3:$B$333,$K23,'(backend scoring)'!$O$3:$O$333),"")</f>
        <v>30</v>
      </c>
      <c r="E23" s="125">
        <f>IF($C23=TRUE,SUMIF('(backend scoring)'!$B$3:$B$333,$K23,'(backend scoring)'!$P$3:$P$333),"")</f>
        <v>10</v>
      </c>
      <c r="F23" s="152">
        <f t="shared" si="0"/>
        <v>0.33333333333333331</v>
      </c>
      <c r="G23" s="230" t="str">
        <f t="shared" si="1"/>
        <v>Jump to  Privacy-Specific Documentation</v>
      </c>
      <c r="H23" s="126"/>
      <c r="I23" s="130"/>
      <c r="K23" s="91" t="s">
        <v>967</v>
      </c>
    </row>
    <row r="24" spans="1:11" s="91" customFormat="1" ht="40.5" customHeight="1" x14ac:dyDescent="0.3">
      <c r="B24" s="92" t="str">
        <f>VLOOKUP($K24,'Auto Responses'!$N$4:$O$38,2,0)&amp;""</f>
        <v xml:space="preserve"> Privacy of Third Parties</v>
      </c>
      <c r="C24" s="124" t="b">
        <v>1</v>
      </c>
      <c r="D24" s="118">
        <f>IF($C24=TRUE,SUMIF('(backend scoring)'!$B$3:$B$333,$K24,'(backend scoring)'!$O$3:$O$333),"")</f>
        <v>25</v>
      </c>
      <c r="E24" s="125">
        <f>IF($C24=TRUE,SUMIF('(backend scoring)'!$B$3:$B$333,$K24,'(backend scoring)'!$P$3:$P$333),"")</f>
        <v>25</v>
      </c>
      <c r="F24" s="152">
        <f t="shared" si="0"/>
        <v>1</v>
      </c>
      <c r="G24" s="230" t="str">
        <f t="shared" si="1"/>
        <v>Jump to  Privacy of Third Parties</v>
      </c>
      <c r="H24" s="126"/>
      <c r="I24" s="130"/>
      <c r="K24" s="91" t="s">
        <v>968</v>
      </c>
    </row>
    <row r="25" spans="1:11" s="91" customFormat="1" ht="40.5" customHeight="1" x14ac:dyDescent="0.3">
      <c r="B25" s="92" t="str">
        <f>VLOOKUP($K25,'Auto Responses'!$N$4:$O$38,2,0)&amp;""</f>
        <v xml:space="preserve"> Privacy Change Management</v>
      </c>
      <c r="C25" s="124" t="b">
        <v>1</v>
      </c>
      <c r="D25" s="118">
        <f>IF($C25=TRUE,SUMIF('(backend scoring)'!$B$3:$B$333,$K25,'(backend scoring)'!$O$3:$O$333),"")</f>
        <v>15</v>
      </c>
      <c r="E25" s="125">
        <f>IF($C25=TRUE,SUMIF('(backend scoring)'!$B$3:$B$333,$K25,'(backend scoring)'!$P$3:$P$333),"")</f>
        <v>15</v>
      </c>
      <c r="F25" s="152">
        <f t="shared" si="0"/>
        <v>1</v>
      </c>
      <c r="G25" s="230" t="str">
        <f t="shared" si="1"/>
        <v>Jump to  Privacy Change Management</v>
      </c>
      <c r="H25" s="126"/>
      <c r="I25" s="130"/>
      <c r="K25" s="91" t="s">
        <v>970</v>
      </c>
    </row>
    <row r="26" spans="1:11" s="91" customFormat="1" ht="40.5" customHeight="1" x14ac:dyDescent="0.3">
      <c r="B26" s="92" t="str">
        <f>VLOOKUP($K26,'Auto Responses'!$N$4:$O$38,2,0)&amp;""</f>
        <v xml:space="preserve"> Privacy of Sensitive Data</v>
      </c>
      <c r="C26" s="124" t="b">
        <v>1</v>
      </c>
      <c r="D26" s="118">
        <f>IF($C26=TRUE,SUMIF('(backend scoring)'!$B$3:$B$333,$K26,'(backend scoring)'!$O$3:$O$333),"")</f>
        <v>85</v>
      </c>
      <c r="E26" s="125">
        <f>IF($C26=TRUE,SUMIF('(backend scoring)'!$B$3:$B$333,$K26,'(backend scoring)'!$P$3:$P$333),"")</f>
        <v>65</v>
      </c>
      <c r="F26" s="152">
        <f t="shared" si="0"/>
        <v>0.76470588235294112</v>
      </c>
      <c r="G26" s="230" t="str">
        <f t="shared" si="1"/>
        <v>Jump to  Privacy of Sensitive Data</v>
      </c>
      <c r="H26" s="126"/>
      <c r="I26" s="130"/>
      <c r="K26" s="91" t="s">
        <v>972</v>
      </c>
    </row>
    <row r="27" spans="1:11" s="91" customFormat="1" ht="40.5" customHeight="1" x14ac:dyDescent="0.3">
      <c r="B27" s="92" t="str">
        <f>VLOOKUP($K27,'Auto Responses'!$N$4:$O$38,2,0)&amp;""</f>
        <v xml:space="preserve"> Privacy Policies and Procedures</v>
      </c>
      <c r="C27" s="124" t="b">
        <v>1</v>
      </c>
      <c r="D27" s="118">
        <f>IF($C27=TRUE,SUMIF('(backend scoring)'!$B$3:$B$333,$K27,'(backend scoring)'!$O$3:$O$333),"")</f>
        <v>100</v>
      </c>
      <c r="E27" s="125">
        <f>IF($C27=TRUE,SUMIF('(backend scoring)'!$B$3:$B$333,$K27,'(backend scoring)'!$P$3:$P$333),"")</f>
        <v>90</v>
      </c>
      <c r="F27" s="152">
        <f t="shared" si="0"/>
        <v>0.9</v>
      </c>
      <c r="G27" s="230" t="str">
        <f t="shared" si="1"/>
        <v>Jump to  Privacy Policies and Procedures</v>
      </c>
      <c r="H27" s="126"/>
      <c r="I27" s="130"/>
      <c r="K27" s="91" t="s">
        <v>974</v>
      </c>
    </row>
    <row r="28" spans="1:11" s="91" customFormat="1" ht="40.5" customHeight="1" x14ac:dyDescent="0.3">
      <c r="B28" s="92" t="str">
        <f>VLOOKUP($K28,'Auto Responses'!$N$4:$O$38,2,0)&amp;""</f>
        <v xml:space="preserve"> International Privacy</v>
      </c>
      <c r="C28" s="124" t="b">
        <v>1</v>
      </c>
      <c r="D28" s="118">
        <f>IF($C28=TRUE,SUMIF('(backend scoring)'!$B$3:$B$333,$K28,'(backend scoring)'!$O$3:$O$333),"")</f>
        <v>50</v>
      </c>
      <c r="E28" s="125">
        <f>IF($C28=TRUE,SUMIF('(backend scoring)'!$B$3:$B$333,$K28,'(backend scoring)'!$P$3:$P$333),"")</f>
        <v>30</v>
      </c>
      <c r="F28" s="152">
        <f t="shared" si="0"/>
        <v>0.6</v>
      </c>
      <c r="G28" s="230" t="str">
        <f t="shared" si="1"/>
        <v>Jump to  International Privacy</v>
      </c>
      <c r="H28" s="126"/>
      <c r="I28" s="130"/>
      <c r="K28" s="91" t="s">
        <v>976</v>
      </c>
    </row>
    <row r="29" spans="1:11" s="91" customFormat="1" ht="40.5" customHeight="1" x14ac:dyDescent="0.3">
      <c r="B29" s="92" t="str">
        <f>VLOOKUP($K29,'Auto Responses'!$N$4:$O$38,2,0)&amp;""</f>
        <v xml:space="preserve"> Data Privacy</v>
      </c>
      <c r="C29" s="124" t="b">
        <v>1</v>
      </c>
      <c r="D29" s="118">
        <f>IF($C29=TRUE,SUMIF('(backend scoring)'!$B$3:$B$333,$K29,'(backend scoring)'!$O$3:$O$333),"")</f>
        <v>150</v>
      </c>
      <c r="E29" s="125">
        <f>IF($C29=TRUE,SUMIF('(backend scoring)'!$B$3:$B$333,$K29,'(backend scoring)'!$P$3:$P$333),"")</f>
        <v>120</v>
      </c>
      <c r="F29" s="152">
        <f t="shared" si="0"/>
        <v>0.8</v>
      </c>
      <c r="G29" s="230" t="str">
        <f t="shared" si="1"/>
        <v>Jump to  Data Privacy</v>
      </c>
      <c r="H29" s="126"/>
      <c r="I29" s="130"/>
      <c r="K29" s="91" t="s">
        <v>1113</v>
      </c>
    </row>
    <row r="30" spans="1:11" s="91" customFormat="1" ht="40.5" customHeight="1" thickBot="1" x14ac:dyDescent="0.35">
      <c r="B30" s="92" t="str">
        <f>VLOOKUP($K30,'Auto Responses'!$N$4:$O$38,2,0)&amp;""</f>
        <v xml:space="preserve"> Privacy and AI</v>
      </c>
      <c r="C30" s="124" t="b">
        <v>1</v>
      </c>
      <c r="D30" s="118">
        <f>IF($C30=TRUE,SUMIF('(backend scoring)'!$B$3:$B$333,$K30,'(backend scoring)'!$O$3:$O$333),"")</f>
        <v>80</v>
      </c>
      <c r="E30" s="125">
        <f>IF($C30=TRUE,SUMIF('(backend scoring)'!$B$3:$B$333,$K30,'(backend scoring)'!$P$3:$P$333),"")</f>
        <v>0</v>
      </c>
      <c r="F30" s="152">
        <f t="shared" si="0"/>
        <v>0</v>
      </c>
      <c r="G30" s="230" t="str">
        <f t="shared" si="1"/>
        <v>Jump to  Privacy and AI</v>
      </c>
      <c r="H30" s="126"/>
      <c r="I30" s="130"/>
      <c r="K30" s="91" t="s">
        <v>979</v>
      </c>
    </row>
    <row r="31" spans="1:11" s="91" customFormat="1" ht="30" customHeight="1" thickBot="1" x14ac:dyDescent="0.3">
      <c r="B31" s="90" t="s">
        <v>1024</v>
      </c>
      <c r="C31" s="117"/>
      <c r="D31" s="119">
        <f>SUM(D21:D30)</f>
        <v>565</v>
      </c>
      <c r="E31" s="119">
        <f>SUM(E21:E30)</f>
        <v>380</v>
      </c>
      <c r="F31" s="88">
        <f>IFERROR($E31/$D31,"N/A")</f>
        <v>0.67256637168141598</v>
      </c>
      <c r="G31" s="135"/>
      <c r="H31" s="136"/>
      <c r="I31" s="137"/>
      <c r="J31" s="255" t="s">
        <v>1531</v>
      </c>
    </row>
    <row r="32" spans="1:11" ht="15" x14ac:dyDescent="0.3">
      <c r="F32" s="62" t="s">
        <v>999</v>
      </c>
    </row>
    <row r="33" spans="1:12" ht="15" x14ac:dyDescent="0.3"/>
    <row r="34" spans="1:12" ht="15" customHeight="1" x14ac:dyDescent="0.3"/>
    <row r="35" spans="1:12" s="187" customFormat="1" ht="36" customHeight="1" x14ac:dyDescent="0.25">
      <c r="A35" s="182" t="s">
        <v>1565</v>
      </c>
      <c r="B35" s="182"/>
      <c r="C35" s="186"/>
      <c r="D35" s="182"/>
      <c r="E35" s="182"/>
      <c r="F35" s="182"/>
      <c r="G35" s="182"/>
      <c r="H35" s="182"/>
      <c r="I35" s="182"/>
      <c r="J35" s="182"/>
      <c r="K35" s="182"/>
      <c r="L35" s="42"/>
    </row>
    <row r="36" spans="1:12" s="30" customFormat="1" ht="36" customHeight="1" x14ac:dyDescent="0.25">
      <c r="A36" s="31" t="s">
        <v>906</v>
      </c>
      <c r="B36" s="31"/>
      <c r="C36" s="76"/>
      <c r="D36" s="31"/>
      <c r="E36" s="31"/>
      <c r="F36" s="31"/>
      <c r="G36" s="31"/>
      <c r="H36" s="31"/>
      <c r="I36" s="31"/>
      <c r="J36" s="31"/>
      <c r="K36" s="31"/>
      <c r="L36" s="1"/>
    </row>
    <row r="37" spans="1:12" s="1" customFormat="1" ht="36" customHeight="1" x14ac:dyDescent="0.25">
      <c r="A37" s="17" t="s">
        <v>922</v>
      </c>
      <c r="B37" s="18"/>
      <c r="C37" s="19"/>
      <c r="D37" s="20"/>
      <c r="E37" s="20"/>
      <c r="F37" s="21"/>
      <c r="G37" s="21"/>
      <c r="H37" s="21"/>
      <c r="I37" s="21"/>
      <c r="J37" s="21"/>
      <c r="K37" s="21"/>
    </row>
    <row r="38" spans="1:12" s="1" customFormat="1" ht="19.5" customHeight="1" x14ac:dyDescent="0.25">
      <c r="A38" s="269" t="str">
        <f>HLOOKUP($A$4,'Auto Responses'!$F$2:$F$7,2,0)&amp;""</f>
        <v>1. Upon initial review, you can check the "Non-Negotiable" box by any question to compile a report of questions that may prohibit a full review.</v>
      </c>
      <c r="B38" s="269"/>
      <c r="C38" s="269"/>
      <c r="D38" s="269"/>
      <c r="E38" s="269"/>
      <c r="F38" s="269"/>
      <c r="G38" s="269"/>
      <c r="H38" s="269"/>
      <c r="I38" s="269"/>
      <c r="J38" s="269"/>
      <c r="K38" s="22"/>
    </row>
    <row r="39" spans="1:12" s="1" customFormat="1" ht="19.5" customHeight="1" x14ac:dyDescent="0.25">
      <c r="A39" s="269" t="str">
        <f>HLOOKUP($A$4,'Auto Responses'!$F$2:$F$7,3,0)&amp;""</f>
        <v>2. When evaluating an answer, a default importance level has been set. You can use the "Importance Override" dropdown to override the default and adjust the value of the question.</v>
      </c>
      <c r="B39" s="269"/>
      <c r="C39" s="269"/>
      <c r="D39" s="269"/>
      <c r="E39" s="269"/>
      <c r="F39" s="269"/>
      <c r="G39" s="269"/>
      <c r="H39" s="269"/>
      <c r="I39" s="269"/>
      <c r="J39" s="269"/>
      <c r="K39" s="22"/>
    </row>
    <row r="40" spans="1:12" s="1" customFormat="1" ht="19.5" customHeight="1" x14ac:dyDescent="0.25">
      <c r="A40" s="269" t="str">
        <f>HLOOKUP($A$4,'Auto Responses'!$F$2:$F$7,4,0)&amp;""</f>
        <v>3. For questions that are qualitative or for which you disagree with the preferred response, make a selection in the "Compliant Override" dropdown to adjust the question's impact on the score.</v>
      </c>
      <c r="B40" s="269"/>
      <c r="C40" s="269"/>
      <c r="D40" s="269"/>
      <c r="E40" s="269"/>
      <c r="F40" s="269"/>
      <c r="G40" s="269"/>
      <c r="H40" s="269"/>
      <c r="I40" s="269"/>
      <c r="J40" s="269"/>
      <c r="K40" s="22"/>
    </row>
    <row r="41" spans="1:12" s="1" customFormat="1" ht="19.5" customHeight="1" x14ac:dyDescent="0.25">
      <c r="A41" s="269" t="str">
        <f>HLOOKUP($A$4,'Auto Responses'!$F$2:$F$7,5,0)&amp;""</f>
        <v xml:space="preserve">4. Each worksheet shows a report for that section. See the "Analyst Report" sheet for a full report of all sections. </v>
      </c>
      <c r="B41" s="269"/>
      <c r="C41" s="269"/>
      <c r="D41" s="269"/>
      <c r="E41" s="269"/>
      <c r="F41" s="269"/>
      <c r="G41" s="269"/>
      <c r="H41" s="269"/>
      <c r="I41" s="269"/>
      <c r="J41" s="269"/>
      <c r="K41" s="22"/>
    </row>
    <row r="42" spans="1:12" s="1" customFormat="1" ht="19.5" customHeight="1" x14ac:dyDescent="0.25">
      <c r="A42" s="269" t="str">
        <f>HLOOKUP($A$4,'Auto Responses'!$F$2:$F$7,6,0)&amp;""</f>
        <v xml:space="preserve">5. If you are evaluating a question that appears in an earlier section, the Importance and Compliant Override cannot be changed but additional notes can be added. </v>
      </c>
      <c r="B42" s="269"/>
      <c r="C42" s="269"/>
      <c r="D42" s="269"/>
      <c r="E42" s="269"/>
      <c r="F42" s="269"/>
      <c r="G42" s="269"/>
      <c r="H42" s="269"/>
      <c r="I42" s="269"/>
      <c r="J42" s="269"/>
      <c r="K42" s="22"/>
    </row>
    <row r="43" spans="1:12" s="1" customFormat="1" ht="19.5" customHeight="1" thickBot="1" x14ac:dyDescent="0.3">
      <c r="A43" s="269" t="str">
        <f>HLOOKUP($A$4,'Auto Responses'!$F$2:$F$8,7,0)&amp;""</f>
        <v>For full instructions, please visit EDUCAUSE.edu/HECVAT</v>
      </c>
      <c r="B43" s="68"/>
      <c r="C43" s="68"/>
      <c r="D43" s="68"/>
      <c r="E43" s="68"/>
      <c r="F43" s="68"/>
      <c r="G43" s="68"/>
      <c r="H43" s="68"/>
      <c r="I43" s="68"/>
      <c r="J43" s="68"/>
      <c r="K43" s="22"/>
    </row>
    <row r="44" spans="1:12" s="30" customFormat="1" ht="41.25" customHeight="1" thickBot="1" x14ac:dyDescent="0.3">
      <c r="A44" s="32"/>
      <c r="B44" s="32"/>
      <c r="C44" s="77"/>
      <c r="D44" s="32"/>
      <c r="E44" s="32"/>
      <c r="F44" s="194" t="s">
        <v>905</v>
      </c>
      <c r="G44" s="189" t="s">
        <v>1093</v>
      </c>
      <c r="H44" s="190"/>
      <c r="I44" s="190"/>
      <c r="J44" s="190"/>
      <c r="K44" s="191"/>
      <c r="L44" s="1"/>
    </row>
    <row r="45" spans="1:12" s="36" customFormat="1" ht="48" customHeight="1" thickBot="1" x14ac:dyDescent="0.3">
      <c r="A45" s="33" t="s">
        <v>907</v>
      </c>
      <c r="B45" s="34" t="s">
        <v>1</v>
      </c>
      <c r="C45" s="34" t="s">
        <v>908</v>
      </c>
      <c r="D45" s="35" t="s">
        <v>72</v>
      </c>
      <c r="E45" s="327" t="s">
        <v>904</v>
      </c>
      <c r="F45" s="198" t="s">
        <v>1550</v>
      </c>
      <c r="G45" s="53" t="s">
        <v>925</v>
      </c>
      <c r="H45" s="50" t="s">
        <v>927</v>
      </c>
      <c r="I45" s="50" t="s">
        <v>19</v>
      </c>
      <c r="J45" s="51" t="s">
        <v>912</v>
      </c>
      <c r="K45" s="54" t="s">
        <v>923</v>
      </c>
      <c r="L45" s="1"/>
    </row>
    <row r="46" spans="1:12" s="1" customFormat="1" ht="37.4" customHeight="1" x14ac:dyDescent="0.25">
      <c r="A46" s="70" t="str">
        <f>VLOOKUP(LEFT($A47,4),'Auto Responses'!$N$4:$O$38,2,0)&amp;""</f>
        <v xml:space="preserve"> General Privacy</v>
      </c>
      <c r="B46" s="29"/>
      <c r="C46" s="38"/>
      <c r="D46" s="38"/>
      <c r="E46" s="38"/>
      <c r="F46" s="139" t="s">
        <v>1089</v>
      </c>
      <c r="G46" s="359" t="s">
        <v>925</v>
      </c>
      <c r="H46" s="359" t="s">
        <v>927</v>
      </c>
      <c r="I46" s="359" t="s">
        <v>19</v>
      </c>
      <c r="J46" s="359" t="s">
        <v>912</v>
      </c>
      <c r="K46" s="38"/>
    </row>
    <row r="47" spans="1:12" s="36" customFormat="1" ht="48" customHeight="1" x14ac:dyDescent="0.25">
      <c r="A47" s="25" t="s">
        <v>913</v>
      </c>
      <c r="B47" s="24" t="str">
        <f>VLOOKUP($A47,Questions!$A$2:$X$333,2,0)</f>
        <v>Does your solution process FERPA-related data?</v>
      </c>
      <c r="C47" s="52" t="str">
        <f>VLOOKUP($A47,Privacy!$A$13:$E$97,3,0)&amp;""</f>
        <v>Yes</v>
      </c>
      <c r="D47" s="41" t="str">
        <f>IF(LEFT(VLOOKUP($A47,Privacy!$A$13:$E$97,5,0),21)='Auto Responses'!$A$73,'Auto Responses'!$A$74,VLOOKUP($A47,Privacy!$A$13:$E$97,4,0))&amp;""</f>
        <v/>
      </c>
      <c r="E47" s="353" t="str">
        <f>VLOOKUP($A47,Privacy!$A$13:$E$97,5,0)&amp;""</f>
        <v/>
      </c>
      <c r="F47" s="195"/>
      <c r="G47" s="37" t="str">
        <f>VLOOKUP($A47,Questions!$A$2:$X$333,21,0)&amp;""</f>
        <v>Not scored</v>
      </c>
      <c r="H47" s="192"/>
      <c r="I47" s="52" t="str">
        <f>VLOOKUP($A47,Questions!$A$2:$X$333,23,0)&amp;""</f>
        <v/>
      </c>
      <c r="J47" s="192"/>
      <c r="K47" s="55" t="b">
        <v>0</v>
      </c>
      <c r="L47" s="1"/>
    </row>
    <row r="48" spans="1:12" s="36" customFormat="1" ht="48" customHeight="1" x14ac:dyDescent="0.25">
      <c r="A48" s="25" t="s">
        <v>914</v>
      </c>
      <c r="B48" s="24" t="str">
        <f>VLOOKUP($A48,Questions!$A$2:$X$333,2,0)</f>
        <v>Does your solution process GDPR-related or PIPL-related data?</v>
      </c>
      <c r="C48" s="52" t="str">
        <f>VLOOKUP($A48,Privacy!$A$13:$E$97,3,0)&amp;""</f>
        <v>Yes</v>
      </c>
      <c r="D48" s="41" t="str">
        <f>IF(LEFT(VLOOKUP($A48,Privacy!$A$13:$E$97,5,0),21)='Auto Responses'!$A$73,'Auto Responses'!$A$74,VLOOKUP($A48,Privacy!$A$13:$E$97,4,0))&amp;""</f>
        <v/>
      </c>
      <c r="E48" s="353" t="str">
        <f>VLOOKUP($A48,Privacy!$A$13:$E$97,5,0)&amp;""</f>
        <v/>
      </c>
      <c r="F48" s="195"/>
      <c r="G48" s="37" t="str">
        <f>VLOOKUP($A48,Questions!$A$2:$X$333,21,0)&amp;""</f>
        <v>Not scored</v>
      </c>
      <c r="H48" s="192"/>
      <c r="I48" s="52" t="str">
        <f>VLOOKUP($A48,Questions!$A$2:$X$333,23,0)&amp;""</f>
        <v/>
      </c>
      <c r="J48" s="192"/>
      <c r="K48" s="55" t="b">
        <v>0</v>
      </c>
      <c r="L48" s="1"/>
    </row>
    <row r="49" spans="1:12" s="36" customFormat="1" ht="48" customHeight="1" x14ac:dyDescent="0.25">
      <c r="A49" s="25" t="s">
        <v>915</v>
      </c>
      <c r="B49" s="24" t="str">
        <f>VLOOKUP($A49,Questions!$A$2:$X$333,2,0)</f>
        <v>Does your solution process personal data regulated by state law(s) (e.g., CCPA)?</v>
      </c>
      <c r="C49" s="52" t="str">
        <f>VLOOKUP($A49,Privacy!$A$13:$E$97,3,0)&amp;""</f>
        <v>Yes</v>
      </c>
      <c r="D49" s="41" t="str">
        <f>IF(LEFT(VLOOKUP($A49,Privacy!$A$13:$E$97,5,0),21)='Auto Responses'!$A$73,'Auto Responses'!$A$74,VLOOKUP($A49,Privacy!$A$13:$E$97,4,0))&amp;""</f>
        <v/>
      </c>
      <c r="E49" s="353" t="str">
        <f>VLOOKUP($A49,Privacy!$A$13:$E$97,5,0)&amp;""</f>
        <v/>
      </c>
      <c r="F49" s="195"/>
      <c r="G49" s="37" t="str">
        <f>VLOOKUP($A49,Questions!$A$2:$X$333,21,0)&amp;""</f>
        <v>Not scored</v>
      </c>
      <c r="H49" s="192"/>
      <c r="I49" s="52" t="str">
        <f>VLOOKUP($A49,Questions!$A$2:$X$333,23,0)&amp;""</f>
        <v/>
      </c>
      <c r="J49" s="192"/>
      <c r="K49" s="55" t="b">
        <v>0</v>
      </c>
      <c r="L49" s="1"/>
    </row>
    <row r="50" spans="1:12" s="36" customFormat="1" ht="48" customHeight="1" x14ac:dyDescent="0.25">
      <c r="A50" s="25" t="s">
        <v>916</v>
      </c>
      <c r="B50" s="24" t="str">
        <f>VLOOKUP($A50,Questions!$A$2:$X$333,2,0)</f>
        <v>Does your solution process user-provided data that may contain regulated information?</v>
      </c>
      <c r="C50" s="52" t="str">
        <f>VLOOKUP($A50,Privacy!$A$13:$E$97,3,0)&amp;""</f>
        <v>No</v>
      </c>
      <c r="D50" s="41" t="str">
        <f>IF(LEFT(VLOOKUP($A50,Privacy!$A$13:$E$97,5,0),21)='Auto Responses'!$A$73,'Auto Responses'!$A$74,VLOOKUP($A50,Privacy!$A$13:$E$97,4,0))&amp;""</f>
        <v/>
      </c>
      <c r="E50" s="353" t="str">
        <f>VLOOKUP($A50,Privacy!$A$13:$E$97,5,0)&amp;""</f>
        <v/>
      </c>
      <c r="F50" s="195"/>
      <c r="G50" s="37" t="str">
        <f>VLOOKUP($A50,Questions!$A$2:$X$333,21,0)&amp;""</f>
        <v>Not scored</v>
      </c>
      <c r="H50" s="192"/>
      <c r="I50" s="52" t="str">
        <f>VLOOKUP($A50,Questions!$A$2:$X$333,23,0)&amp;""</f>
        <v/>
      </c>
      <c r="J50" s="192"/>
      <c r="K50" s="55" t="b">
        <v>0</v>
      </c>
      <c r="L50" s="1"/>
    </row>
    <row r="51" spans="1:12" s="36" customFormat="1" ht="48" customHeight="1" x14ac:dyDescent="0.25">
      <c r="A51" s="25" t="s">
        <v>917</v>
      </c>
      <c r="B51" s="24" t="str">
        <f>VLOOKUP($A51,Questions!$A$2:$X$333,2,0)</f>
        <v>Web Link to Product/Service Privacy Notice</v>
      </c>
      <c r="C51" s="324" t="str">
        <f>VLOOKUP($A51,Privacy!$A$13:$E$97,3,0)&amp;""</f>
        <v/>
      </c>
      <c r="D51" s="325" t="str">
        <f>IF(LEFT(VLOOKUP($A51,Privacy!$A$13:$E$97,5,0),21)='Auto Responses'!$A$73,'Auto Responses'!$A$74,VLOOKUP($A51,Privacy!$A$13:$E$97,4,0))&amp;""</f>
        <v/>
      </c>
      <c r="E51" s="353" t="str">
        <f>VLOOKUP($A51,Privacy!$A$13:$E$97,5,0)&amp;""</f>
        <v/>
      </c>
      <c r="F51" s="195"/>
      <c r="G51" s="37" t="str">
        <f>VLOOKUP($A51,Questions!$A$2:$X$333,21,0)&amp;""</f>
        <v>Not scored</v>
      </c>
      <c r="H51" s="192"/>
      <c r="I51" s="52" t="str">
        <f>VLOOKUP($A51,Questions!$A$2:$X$333,23,0)&amp;""</f>
        <v>Standard Importance</v>
      </c>
      <c r="J51" s="192"/>
      <c r="K51" s="55" t="b">
        <v>0</v>
      </c>
      <c r="L51" s="1"/>
    </row>
    <row r="52" spans="1:12" s="1" customFormat="1" ht="37.4" customHeight="1" x14ac:dyDescent="0.25">
      <c r="A52" s="70" t="str">
        <f>VLOOKUP(LEFT($A53,4),'Auto Responses'!$N$4:$O$38,2,0)&amp;""</f>
        <v xml:space="preserve"> Privacy-Specific Company Details</v>
      </c>
      <c r="B52" s="29"/>
      <c r="C52" s="38"/>
      <c r="D52" s="38"/>
      <c r="E52" s="352"/>
      <c r="F52" s="139" t="s">
        <v>1089</v>
      </c>
      <c r="G52" s="359" t="s">
        <v>925</v>
      </c>
      <c r="H52" s="359" t="s">
        <v>927</v>
      </c>
      <c r="I52" s="359" t="s">
        <v>19</v>
      </c>
      <c r="J52" s="359" t="s">
        <v>912</v>
      </c>
      <c r="K52" s="38"/>
    </row>
    <row r="53" spans="1:12" s="36" customFormat="1" ht="79.5" customHeight="1" x14ac:dyDescent="0.25">
      <c r="A53" s="25" t="s">
        <v>714</v>
      </c>
      <c r="B53" s="24" t="str">
        <f>VLOOKUP($A53,Questions!$A$2:$X$333,2,0)</f>
        <v>Have you had a personal data breach in the past three years that involved reporting to a governmental agency, notice to individuals (including voluntary notice), or notice to another organization or institution?*</v>
      </c>
      <c r="C53" s="52" t="str">
        <f>VLOOKUP($A53,Privacy!$A$13:$E$97,3,0)&amp;""</f>
        <v>No</v>
      </c>
      <c r="D53" s="41" t="str">
        <f>IF(LEFT(VLOOKUP($A53,Privacy!$A$13:$E$97,5,0),21)='Auto Responses'!$A$73,'Auto Responses'!$A$74,VLOOKUP($A53,Privacy!$A$13:$E$97,4,0))&amp;""</f>
        <v/>
      </c>
      <c r="E53" s="351" t="str">
        <f>VLOOKUP($A53,Privacy!$A$13:$E$97,5,0)&amp;""</f>
        <v/>
      </c>
      <c r="F53" s="195"/>
      <c r="G53" s="37" t="str">
        <f>VLOOKUP($A53,Questions!$A$2:$X$333,21,0)&amp;""</f>
        <v>No</v>
      </c>
      <c r="H53" s="192"/>
      <c r="I53" s="52" t="str">
        <f>VLOOKUP($A53,Questions!$A$2:$X$333,23,0)&amp;""</f>
        <v>Critical Importance</v>
      </c>
      <c r="J53" s="192"/>
      <c r="K53" s="55" t="b">
        <v>0</v>
      </c>
      <c r="L53" s="1"/>
    </row>
    <row r="54" spans="1:12" s="36" customFormat="1" ht="48" customHeight="1" x14ac:dyDescent="0.25">
      <c r="A54" s="25" t="s">
        <v>717</v>
      </c>
      <c r="B54" s="24" t="str">
        <f>VLOOKUP($A54,Questions!$A$2:$X$333,2,0)</f>
        <v>Use this area to share information about your privacy practices that will assist those who are assessing your company data privacy program.*</v>
      </c>
      <c r="C54" s="324" t="str">
        <f>VLOOKUP($A54,Privacy!$A$13:$E$97,3,0)&amp;""</f>
        <v/>
      </c>
      <c r="D54" s="325" t="str">
        <f>IF(LEFT(VLOOKUP($A54,Privacy!$A$13:$E$97,5,0),21)='Auto Responses'!$A$73,'Auto Responses'!$A$74,VLOOKUP($A54,Privacy!$A$13:$E$97,4,0))&amp;""</f>
        <v>Cirrus Identity aims to collect and store the least amount of end user personal data necessary to deliver access control services for customers. Unless modified by contract, The Customer is the primary Data Controller and ultimately controls what data is processed by Cirrus Identity. Privacy practices are covered by the Cirrus Identity Privacy Policy (available from https://www.cirrusidentity.com/resources/trust-and-compliance-center) and the Data Management section of the contract with the customer. A sample of the default contract langauge is available upon request.</v>
      </c>
      <c r="E54" s="351" t="str">
        <f>VLOOKUP($A54,Privacy!$A$13:$E$97,5,0)&amp;""</f>
        <v>Share any details that would help data privacy analysts assess your solution.</v>
      </c>
      <c r="F54" s="195"/>
      <c r="G54" s="37" t="str">
        <f>VLOOKUP($A54,Questions!$A$2:$X$333,21,0)&amp;""</f>
        <v>Not scored</v>
      </c>
      <c r="H54" s="192"/>
      <c r="I54" s="52" t="str">
        <f>VLOOKUP($A54,Questions!$A$2:$X$333,23,0)&amp;""</f>
        <v>Critical Importance</v>
      </c>
      <c r="J54" s="192"/>
      <c r="K54" s="55" t="b">
        <v>0</v>
      </c>
      <c r="L54" s="1"/>
    </row>
    <row r="55" spans="1:12" s="36" customFormat="1" ht="48" customHeight="1" x14ac:dyDescent="0.25">
      <c r="A55" s="25" t="s">
        <v>719</v>
      </c>
      <c r="B55" s="24" t="str">
        <f>VLOOKUP($A55,Questions!$A$2:$X$333,2,0)</f>
        <v>Have you had any data privacy policy or law violations in the past 36 months?</v>
      </c>
      <c r="C55" s="52" t="str">
        <f>VLOOKUP($A55,Privacy!$A$13:$E$97,3,0)&amp;""</f>
        <v>No</v>
      </c>
      <c r="D55" s="41" t="str">
        <f>IF(LEFT(VLOOKUP($A55,Privacy!$A$13:$E$97,5,0),21)='Auto Responses'!$A$73,'Auto Responses'!$A$74,VLOOKUP($A55,Privacy!$A$13:$E$97,4,0))&amp;""</f>
        <v/>
      </c>
      <c r="E55" s="351" t="str">
        <f>VLOOKUP($A55,Privacy!$A$13:$E$97,5,0)&amp;""</f>
        <v/>
      </c>
      <c r="F55" s="195"/>
      <c r="G55" s="37" t="str">
        <f>VLOOKUP($A55,Questions!$A$2:$X$333,21,0)&amp;""</f>
        <v>No</v>
      </c>
      <c r="H55" s="192"/>
      <c r="I55" s="52" t="str">
        <f>VLOOKUP($A55,Questions!$A$2:$X$333,23,0)&amp;""</f>
        <v>Minor Importance</v>
      </c>
      <c r="J55" s="192"/>
      <c r="K55" s="55" t="b">
        <v>0</v>
      </c>
      <c r="L55" s="1"/>
    </row>
    <row r="56" spans="1:12" s="36" customFormat="1" ht="48" customHeight="1" x14ac:dyDescent="0.25">
      <c r="A56" s="25" t="s">
        <v>722</v>
      </c>
      <c r="B56" s="24" t="str">
        <f>VLOOKUP($A56,Questions!$A$2:$X$333,2,0)</f>
        <v>Do you have a dedicated data privacy staff or office?</v>
      </c>
      <c r="C56" s="52" t="str">
        <f>VLOOKUP($A56,Privacy!$A$13:$E$97,3,0)&amp;""</f>
        <v>No</v>
      </c>
      <c r="D56" s="41" t="str">
        <f>IF(LEFT(VLOOKUP($A56,Privacy!$A$13:$E$97,5,0),21)='Auto Responses'!$A$73,'Auto Responses'!$A$74,VLOOKUP($A56,Privacy!$A$13:$E$97,4,0))&amp;""</f>
        <v/>
      </c>
      <c r="E56" s="351" t="str">
        <f>VLOOKUP($A56,Privacy!$A$13:$E$97,5,0)&amp;""</f>
        <v/>
      </c>
      <c r="F56" s="195"/>
      <c r="G56" s="37" t="str">
        <f>VLOOKUP($A56,Questions!$A$2:$X$333,21,0)&amp;""</f>
        <v>Yes</v>
      </c>
      <c r="H56" s="192"/>
      <c r="I56" s="52" t="str">
        <f>VLOOKUP($A56,Questions!$A$2:$X$333,23,0)&amp;""</f>
        <v>Minor Importance</v>
      </c>
      <c r="J56" s="192"/>
      <c r="K56" s="55" t="b">
        <v>0</v>
      </c>
      <c r="L56" s="1"/>
    </row>
    <row r="57" spans="1:12" s="1" customFormat="1" ht="37.4" customHeight="1" x14ac:dyDescent="0.25">
      <c r="A57" s="70" t="str">
        <f>VLOOKUP(LEFT($A58,4),'Auto Responses'!$N$4:$O$38,2,0)&amp;""</f>
        <v xml:space="preserve"> Privacy-Specific Documentation</v>
      </c>
      <c r="B57" s="29"/>
      <c r="C57" s="38"/>
      <c r="D57" s="38"/>
      <c r="E57" s="352"/>
      <c r="F57" s="139" t="s">
        <v>1089</v>
      </c>
      <c r="G57" s="359" t="s">
        <v>925</v>
      </c>
      <c r="H57" s="359" t="s">
        <v>927</v>
      </c>
      <c r="I57" s="359" t="s">
        <v>19</v>
      </c>
      <c r="J57" s="359" t="s">
        <v>912</v>
      </c>
      <c r="K57" s="38"/>
    </row>
    <row r="58" spans="1:12" s="36" customFormat="1" ht="48" customHeight="1" x14ac:dyDescent="0.25">
      <c r="A58" s="25" t="s">
        <v>723</v>
      </c>
      <c r="B58" s="24" t="str">
        <f>VLOOKUP($A58,Questions!$A$2:$X$333,2,0)</f>
        <v>If you have completed a SOC 2 audit, does it include the Privacy Trust Service Principle?</v>
      </c>
      <c r="C58" s="52" t="str">
        <f>VLOOKUP($A58,Privacy!$A$13:$E$97,3,0)&amp;""</f>
        <v>No</v>
      </c>
      <c r="D58" s="41" t="str">
        <f>IF(LEFT(VLOOKUP($A58,Privacy!$A$13:$E$97,5,0),21)='Auto Responses'!$A$73,'Auto Responses'!$A$74,VLOOKUP($A58,Privacy!$A$13:$E$97,4,0))&amp;""</f>
        <v/>
      </c>
      <c r="E58" s="351" t="str">
        <f>VLOOKUP($A58,Privacy!$A$13:$E$97,5,0)&amp;""</f>
        <v/>
      </c>
      <c r="F58" s="195"/>
      <c r="G58" s="37" t="str">
        <f>VLOOKUP($A58,Questions!$A$2:$X$333,21,0)&amp;""</f>
        <v>Yes</v>
      </c>
      <c r="H58" s="192"/>
      <c r="I58" s="52" t="str">
        <f>VLOOKUP($A58,Questions!$A$2:$X$333,23,0)&amp;""</f>
        <v>Standard Importance</v>
      </c>
      <c r="J58" s="192"/>
      <c r="K58" s="55" t="b">
        <v>0</v>
      </c>
      <c r="L58" s="1"/>
    </row>
    <row r="59" spans="1:12" s="36" customFormat="1" ht="48" customHeight="1" x14ac:dyDescent="0.25">
      <c r="A59" s="25" t="s">
        <v>724</v>
      </c>
      <c r="B59" s="24" t="str">
        <f>VLOOKUP($A59,Questions!$A$2:$X$333,2,0)</f>
        <v>Do you conform with a specific industry-standard privacy framework (e.g., NIST Privacy Framework, GDPR, ISO 27701)?</v>
      </c>
      <c r="C59" s="52" t="str">
        <f>VLOOKUP($A59,Privacy!$A$13:$E$97,3,0)&amp;""</f>
        <v>No</v>
      </c>
      <c r="D59" s="41" t="str">
        <f>IF(LEFT(VLOOKUP($A59,Privacy!$A$13:$E$97,5,0),21)='Auto Responses'!$A$73,'Auto Responses'!$A$74,VLOOKUP($A59,Privacy!$A$13:$E$97,4,0))&amp;""</f>
        <v xml:space="preserve">Cirrus Identity does not currently claim conformance to a specific industry-standard privacy framework. As of 2025-06-02, the Cirrus Identity Privacy Policy has been updated to support future participation in the US Data Privacy Framework (DPF). The principles defined by the General Data Protection Regulation (GDPR) currently guide Cirrus Identity privacy practices and product strategy.   </v>
      </c>
      <c r="E59" s="351" t="str">
        <f>VLOOKUP($A59,Privacy!$A$13:$E$97,5,0)&amp;""</f>
        <v>Provide any plans to conform.</v>
      </c>
      <c r="F59" s="195"/>
      <c r="G59" s="37" t="str">
        <f>VLOOKUP($A59,Questions!$A$2:$X$333,21,0)&amp;""</f>
        <v>Yes</v>
      </c>
      <c r="H59" s="192"/>
      <c r="I59" s="52" t="str">
        <f>VLOOKUP($A59,Questions!$A$2:$X$333,23,0)&amp;""</f>
        <v>Standard Importance</v>
      </c>
      <c r="J59" s="192"/>
      <c r="K59" s="55" t="b">
        <v>0</v>
      </c>
      <c r="L59" s="1"/>
    </row>
    <row r="60" spans="1:12" s="36" customFormat="1" ht="48" customHeight="1" x14ac:dyDescent="0.25">
      <c r="A60" s="25" t="s">
        <v>726</v>
      </c>
      <c r="B60" s="24" t="str">
        <f>VLOOKUP($A60,Questions!$A$2:$X$333,2,0)</f>
        <v>Does your employee onboarding and offboarding policy include training of employees on information security and data privacy?</v>
      </c>
      <c r="C60" s="52" t="str">
        <f>VLOOKUP($A60,Privacy!$A$13:$E$97,3,0)&amp;""</f>
        <v>Yes</v>
      </c>
      <c r="D60" s="41" t="str">
        <f>IF(LEFT(VLOOKUP($A60,Privacy!$A$13:$E$97,5,0),21)='Auto Responses'!$A$73,'Auto Responses'!$A$74,VLOOKUP($A60,Privacy!$A$13:$E$97,4,0))&amp;""</f>
        <v/>
      </c>
      <c r="E60" s="351" t="str">
        <f>VLOOKUP($A60,Privacy!$A$13:$E$97,5,0)&amp;""</f>
        <v/>
      </c>
      <c r="F60" s="195"/>
      <c r="G60" s="37" t="str">
        <f>VLOOKUP($A60,Questions!$A$2:$X$333,21,0)&amp;""</f>
        <v>Yes</v>
      </c>
      <c r="H60" s="192"/>
      <c r="I60" s="52" t="str">
        <f>VLOOKUP($A60,Questions!$A$2:$X$333,23,0)&amp;""</f>
        <v>Standard Importance</v>
      </c>
      <c r="J60" s="192"/>
      <c r="K60" s="55" t="b">
        <v>0</v>
      </c>
      <c r="L60" s="1"/>
    </row>
    <row r="61" spans="1:12" s="1" customFormat="1" ht="37.4" customHeight="1" x14ac:dyDescent="0.25">
      <c r="A61" s="70" t="str">
        <f>VLOOKUP(LEFT($A62,4),'Auto Responses'!$N$4:$O$38,2,0)&amp;""</f>
        <v xml:space="preserve"> Privacy of Third Parties</v>
      </c>
      <c r="B61" s="29"/>
      <c r="C61" s="38"/>
      <c r="D61" s="38"/>
      <c r="E61" s="352"/>
      <c r="F61" s="139" t="s">
        <v>1089</v>
      </c>
      <c r="G61" s="359" t="s">
        <v>925</v>
      </c>
      <c r="H61" s="359" t="s">
        <v>927</v>
      </c>
      <c r="I61" s="359" t="s">
        <v>19</v>
      </c>
      <c r="J61" s="359" t="s">
        <v>912</v>
      </c>
      <c r="K61" s="38"/>
    </row>
    <row r="62" spans="1:12" s="36" customFormat="1" ht="48" customHeight="1" x14ac:dyDescent="0.25">
      <c r="A62" s="25" t="s">
        <v>728</v>
      </c>
      <c r="B62" s="24" t="str">
        <f>VLOOKUP($A62,Questions!$A$2:$X$333,2,0)</f>
        <v>Do you have contractual agreements with third parties that require them to maintain standards and to comply with all regulatory requirements?*</v>
      </c>
      <c r="C62" s="52" t="str">
        <f>VLOOKUP($A62,Privacy!$A$13:$E$97,3,0)&amp;""</f>
        <v>Yes</v>
      </c>
      <c r="D62" s="41" t="str">
        <f>IF(LEFT(VLOOKUP($A62,Privacy!$A$13:$E$97,5,0),21)='Auto Responses'!$A$73,'Auto Responses'!$A$74,VLOOKUP($A62,Privacy!$A$13:$E$97,4,0))&amp;""</f>
        <v/>
      </c>
      <c r="E62" s="351" t="str">
        <f>VLOOKUP($A62,Privacy!$A$13:$E$97,5,0)&amp;""</f>
        <v/>
      </c>
      <c r="F62" s="195"/>
      <c r="G62" s="37" t="str">
        <f>VLOOKUP($A62,Questions!$A$2:$X$333,21,0)&amp;""</f>
        <v>Yes</v>
      </c>
      <c r="H62" s="192"/>
      <c r="I62" s="52" t="str">
        <f>VLOOKUP($A62,Questions!$A$2:$X$333,23,0)&amp;""</f>
        <v>Critical Importance</v>
      </c>
      <c r="J62" s="192"/>
      <c r="K62" s="55" t="b">
        <v>0</v>
      </c>
      <c r="L62" s="1"/>
    </row>
    <row r="63" spans="1:12" s="36" customFormat="1" ht="95.25" customHeight="1" x14ac:dyDescent="0.25">
      <c r="A63" s="25" t="s">
        <v>732</v>
      </c>
      <c r="B63" s="24" t="str">
        <f>VLOOKUP($A63,Questions!$A$2:$X$333,2,0)</f>
        <v xml:space="preserve">Do you perform privacy impact assesments of third parties that collect, process, or have access to personal data to ensure they meet industry and regulatory standards and to mitigate harmful, unethical, or discriminatory impacts on data subjects? </v>
      </c>
      <c r="C63" s="52" t="str">
        <f>VLOOKUP($A63,Privacy!$A$13:$E$97,3,0)&amp;""</f>
        <v>Yes</v>
      </c>
      <c r="D63" s="41" t="str">
        <f>IF(LEFT(VLOOKUP($A63,Privacy!$A$13:$E$97,5,0),21)='Auto Responses'!$A$73,'Auto Responses'!$A$74,VLOOKUP($A63,Privacy!$A$13:$E$97,4,0))&amp;""</f>
        <v>As part of the Cirrus Identity Third-Party vendor management practices, Cirrus Identity evaluates privacy practices so they are equivalent or greater than those maintained by Cirrus Identity.</v>
      </c>
      <c r="E63" s="351" t="str">
        <f>VLOOKUP($A63,Privacy!$A$13:$E$97,5,0)&amp;""</f>
        <v>Provide a summary of your practices that assures that the third party will be subject to the appropriate standards regarding data privacy.</v>
      </c>
      <c r="F63" s="195"/>
      <c r="G63" s="37" t="str">
        <f>VLOOKUP($A63,Questions!$A$2:$X$333,21,0)&amp;""</f>
        <v>Yes</v>
      </c>
      <c r="H63" s="192"/>
      <c r="I63" s="52" t="str">
        <f>VLOOKUP($A63,Questions!$A$2:$X$333,23,0)&amp;""</f>
        <v>Minor Importance</v>
      </c>
      <c r="J63" s="192"/>
      <c r="K63" s="55" t="b">
        <v>0</v>
      </c>
      <c r="L63" s="1"/>
    </row>
    <row r="64" spans="1:12" s="1" customFormat="1" ht="37.4" customHeight="1" x14ac:dyDescent="0.25">
      <c r="A64" s="70" t="str">
        <f>VLOOKUP(LEFT($A65,4),'Auto Responses'!$N$4:$O$38,2,0)&amp;""</f>
        <v xml:space="preserve"> Privacy Change Management</v>
      </c>
      <c r="B64" s="29"/>
      <c r="C64" s="38"/>
      <c r="D64" s="38"/>
      <c r="E64" s="352"/>
      <c r="F64" s="139" t="s">
        <v>1089</v>
      </c>
      <c r="G64" s="359" t="s">
        <v>925</v>
      </c>
      <c r="H64" s="359" t="s">
        <v>927</v>
      </c>
      <c r="I64" s="359" t="s">
        <v>19</v>
      </c>
      <c r="J64" s="359" t="s">
        <v>912</v>
      </c>
      <c r="K64" s="38"/>
    </row>
    <row r="65" spans="1:12" s="36" customFormat="1" ht="48" customHeight="1" x14ac:dyDescent="0.25">
      <c r="A65" s="25" t="s">
        <v>733</v>
      </c>
      <c r="B65" s="24" t="str">
        <f>VLOOKUP($A65,Questions!$A$2:$X$333,2,0)</f>
        <v>Does your change management process include privacy review and approval?</v>
      </c>
      <c r="C65" s="52" t="str">
        <f>VLOOKUP($A65,Privacy!$A$13:$E$97,3,0)&amp;""</f>
        <v>Yes</v>
      </c>
      <c r="D65" s="41" t="str">
        <f>IF(LEFT(VLOOKUP($A65,Privacy!$A$13:$E$97,5,0),21)='Auto Responses'!$A$73,'Auto Responses'!$A$74,VLOOKUP($A65,Privacy!$A$13:$E$97,4,0))&amp;""</f>
        <v>Privacy principles would be a consideration during the design phase of the Cirrus Identity Change Management Procedure.</v>
      </c>
      <c r="E65" s="351" t="str">
        <f>VLOOKUP($A65,Privacy!$A$13:$E$97,5,0)&amp;""</f>
        <v xml:space="preserve">Please describe your process for privacy review. </v>
      </c>
      <c r="F65" s="195"/>
      <c r="G65" s="37" t="str">
        <f>VLOOKUP($A65,Questions!$A$2:$X$333,21,0)&amp;""</f>
        <v>Yes</v>
      </c>
      <c r="H65" s="192"/>
      <c r="I65" s="52" t="str">
        <f>VLOOKUP($A65,Questions!$A$2:$X$333,23,0)&amp;""</f>
        <v>Standard Importance</v>
      </c>
      <c r="J65" s="192"/>
      <c r="K65" s="55" t="b">
        <v>0</v>
      </c>
      <c r="L65" s="1"/>
    </row>
    <row r="66" spans="1:12" s="36" customFormat="1" ht="48" customHeight="1" x14ac:dyDescent="0.25">
      <c r="A66" s="25" t="s">
        <v>736</v>
      </c>
      <c r="B66" s="24" t="str">
        <f>VLOOKUP($A66,Questions!$A$2:$X$333,2,0)</f>
        <v>Do you have policy and procedure, currently implemented, guiding how privacy risks are mitigated until they can be resolved?</v>
      </c>
      <c r="C66" s="52" t="str">
        <f>VLOOKUP($A66,Privacy!$A$13:$E$97,3,0)&amp;""</f>
        <v>Yes</v>
      </c>
      <c r="D66" s="41" t="str">
        <f>IF(LEFT(VLOOKUP($A66,Privacy!$A$13:$E$97,5,0),21)='Auto Responses'!$A$73,'Auto Responses'!$A$74,VLOOKUP($A66,Privacy!$A$13:$E$97,4,0))&amp;""</f>
        <v/>
      </c>
      <c r="E66" s="351" t="str">
        <f>VLOOKUP($A66,Privacy!$A$13:$E$97,5,0)&amp;""</f>
        <v/>
      </c>
      <c r="F66" s="195"/>
      <c r="G66" s="37" t="str">
        <f>VLOOKUP($A66,Questions!$A$2:$X$333,21,0)&amp;""</f>
        <v>Yes</v>
      </c>
      <c r="H66" s="192"/>
      <c r="I66" s="52" t="str">
        <f>VLOOKUP($A66,Questions!$A$2:$X$333,23,0)&amp;""</f>
        <v>Minor Importance</v>
      </c>
      <c r="J66" s="192"/>
      <c r="K66" s="55" t="b">
        <v>0</v>
      </c>
      <c r="L66" s="1"/>
    </row>
    <row r="67" spans="1:12" s="1" customFormat="1" ht="37.4" customHeight="1" x14ac:dyDescent="0.25">
      <c r="A67" s="70" t="str">
        <f>VLOOKUP(LEFT($A68,4),'Auto Responses'!$N$4:$O$38,2,0)&amp;""</f>
        <v xml:space="preserve"> Privacy of Sensitive Data</v>
      </c>
      <c r="B67" s="29"/>
      <c r="C67" s="38"/>
      <c r="D67" s="38"/>
      <c r="E67" s="352"/>
      <c r="F67" s="139" t="s">
        <v>1089</v>
      </c>
      <c r="G67" s="359" t="s">
        <v>925</v>
      </c>
      <c r="H67" s="359" t="s">
        <v>927</v>
      </c>
      <c r="I67" s="359" t="s">
        <v>19</v>
      </c>
      <c r="J67" s="359" t="s">
        <v>912</v>
      </c>
      <c r="K67" s="38"/>
    </row>
    <row r="68" spans="1:12" s="36" customFormat="1" ht="48" customHeight="1" x14ac:dyDescent="0.25">
      <c r="A68" s="25" t="s">
        <v>738</v>
      </c>
      <c r="B68" s="24" t="str">
        <f>VLOOKUP($A68,Questions!$A$2:$X$333,2,0)</f>
        <v>Do you collect, process, or store demographic information?*</v>
      </c>
      <c r="C68" s="52" t="str">
        <f>VLOOKUP($A68,Privacy!$A$13:$E$97,3,0)&amp;""</f>
        <v>No</v>
      </c>
      <c r="D68" s="41" t="str">
        <f>IF(LEFT(VLOOKUP($A68,Privacy!$A$13:$E$97,5,0),21)='Auto Responses'!$A$73,'Auto Responses'!$A$74,VLOOKUP($A68,Privacy!$A$13:$E$97,4,0))&amp;""</f>
        <v/>
      </c>
      <c r="E68" s="351" t="str">
        <f>VLOOKUP($A68,Privacy!$A$13:$E$97,5,0)&amp;""</f>
        <v/>
      </c>
      <c r="F68" s="195"/>
      <c r="G68" s="37" t="str">
        <f>VLOOKUP($A68,Questions!$A$2:$X$333,21,0)&amp;""</f>
        <v>No</v>
      </c>
      <c r="H68" s="192"/>
      <c r="I68" s="52" t="str">
        <f>VLOOKUP($A68,Questions!$A$2:$X$333,23,0)&amp;""</f>
        <v>Critical Importance</v>
      </c>
      <c r="J68" s="192"/>
      <c r="K68" s="55" t="b">
        <v>0</v>
      </c>
      <c r="L68" s="1"/>
    </row>
    <row r="69" spans="1:12" s="36" customFormat="1" ht="48" customHeight="1" x14ac:dyDescent="0.25">
      <c r="A69" s="25" t="s">
        <v>740</v>
      </c>
      <c r="B69" s="24" t="str">
        <f>VLOOKUP($A69,Questions!$A$2:$X$333,2,0)</f>
        <v>Do you capture or create genetic, biometric, or behaviometric information (e.g.,  facial recognition or fingerprints)?*</v>
      </c>
      <c r="C69" s="52" t="str">
        <f>VLOOKUP($A69,Privacy!$A$13:$E$97,3,0)&amp;""</f>
        <v>No</v>
      </c>
      <c r="D69" s="41" t="str">
        <f>IF(LEFT(VLOOKUP($A69,Privacy!$A$13:$E$97,5,0),21)='Auto Responses'!$A$73,'Auto Responses'!$A$74,VLOOKUP($A69,Privacy!$A$13:$E$97,4,0))&amp;""</f>
        <v/>
      </c>
      <c r="E69" s="351" t="str">
        <f>VLOOKUP($A69,Privacy!$A$13:$E$97,5,0)&amp;""</f>
        <v/>
      </c>
      <c r="F69" s="195"/>
      <c r="G69" s="37" t="str">
        <f>VLOOKUP($A69,Questions!$A$2:$X$333,21,0)&amp;""</f>
        <v>No</v>
      </c>
      <c r="H69" s="192"/>
      <c r="I69" s="52" t="str">
        <f>VLOOKUP($A69,Questions!$A$2:$X$333,23,0)&amp;""</f>
        <v>Critical Importance</v>
      </c>
      <c r="J69" s="192"/>
      <c r="K69" s="55" t="b">
        <v>0</v>
      </c>
      <c r="L69" s="1"/>
    </row>
    <row r="70" spans="1:12" s="36" customFormat="1" ht="48" customHeight="1" x14ac:dyDescent="0.25">
      <c r="A70" s="25" t="s">
        <v>743</v>
      </c>
      <c r="B70" s="24" t="str">
        <f>VLOOKUP($A70,Questions!$A$2:$X$333,2,0)</f>
        <v>Do you combine institutional data (including "de-identified," "anonymized," or otherwise masked data) with personal data from any other sources?*</v>
      </c>
      <c r="C70" s="52" t="str">
        <f>VLOOKUP($A70,Privacy!$A$13:$E$97,3,0)&amp;""</f>
        <v>No</v>
      </c>
      <c r="D70" s="41" t="str">
        <f>IF(LEFT(VLOOKUP($A70,Privacy!$A$13:$E$97,5,0),21)='Auto Responses'!$A$73,'Auto Responses'!$A$74,VLOOKUP($A70,Privacy!$A$13:$E$97,4,0))&amp;""</f>
        <v/>
      </c>
      <c r="E70" s="351" t="str">
        <f>VLOOKUP($A70,Privacy!$A$13:$E$97,5,0)&amp;""</f>
        <v/>
      </c>
      <c r="F70" s="195"/>
      <c r="G70" s="37" t="str">
        <f>VLOOKUP($A70,Questions!$A$2:$X$333,21,0)&amp;""</f>
        <v>No</v>
      </c>
      <c r="H70" s="192"/>
      <c r="I70" s="52" t="str">
        <f>VLOOKUP($A70,Questions!$A$2:$X$333,23,0)&amp;""</f>
        <v>Critical Importance</v>
      </c>
      <c r="J70" s="192"/>
      <c r="K70" s="55" t="b">
        <v>0</v>
      </c>
      <c r="L70" s="1"/>
    </row>
    <row r="71" spans="1:12" s="36" customFormat="1" ht="48" customHeight="1" x14ac:dyDescent="0.25">
      <c r="A71" s="25" t="s">
        <v>745</v>
      </c>
      <c r="B71" s="24" t="str">
        <f>VLOOKUP($A71,Questions!$A$2:$X$333,2,0)</f>
        <v>Is institutional data coming into or going out of the United States at any point during collection, processing, storage, or archiving?</v>
      </c>
      <c r="C71" s="52" t="str">
        <f>VLOOKUP($A71,Privacy!$A$13:$E$97,3,0)&amp;""</f>
        <v>Yes</v>
      </c>
      <c r="D71" s="41" t="str">
        <f>IF(LEFT(VLOOKUP($A71,Privacy!$A$13:$E$97,5,0),21)='Auto Responses'!$A$73,'Auto Responses'!$A$74,VLOOKUP($A71,Privacy!$A$13:$E$97,4,0))&amp;""</f>
        <v>Cirrus Identity operates production workloads from AWS datacenters in the Unitied States. Customers with end users located outside of the Unitied States and using local internet connectivity may experience data traversing the United States regional boundary by virtue of using Cirrus Identity for access to Customer applications. The extent that data is considered institutional data will depend on the Customer. The Customer is the primary Data Controller and ultimately controls what data is processed by Cirrus Identity.</v>
      </c>
      <c r="E71" s="351" t="str">
        <f>VLOOKUP($A71,Privacy!$A$13:$E$97,5,0)&amp;""</f>
        <v>Describe where and whether you comply with the laws of that jurisdiction.</v>
      </c>
      <c r="F71" s="195"/>
      <c r="G71" s="37" t="str">
        <f>VLOOKUP($A71,Questions!$A$2:$X$333,21,0)&amp;""</f>
        <v>No</v>
      </c>
      <c r="H71" s="192"/>
      <c r="I71" s="52" t="str">
        <f>VLOOKUP($A71,Questions!$A$2:$X$333,23,0)&amp;""</f>
        <v>Minor Importance</v>
      </c>
      <c r="J71" s="192"/>
      <c r="K71" s="55" t="b">
        <v>0</v>
      </c>
      <c r="L71" s="1"/>
    </row>
    <row r="72" spans="1:12" s="36" customFormat="1" ht="48" customHeight="1" x14ac:dyDescent="0.25">
      <c r="A72" s="25" t="s">
        <v>747</v>
      </c>
      <c r="B72" s="24" t="str">
        <f>VLOOKUP($A72,Questions!$A$2:$X$333,2,0)</f>
        <v>Do you capture device information (e.g., IP address, MAC address)?</v>
      </c>
      <c r="C72" s="52" t="str">
        <f>VLOOKUP($A72,Privacy!$A$13:$E$97,3,0)&amp;""</f>
        <v>Yes</v>
      </c>
      <c r="D72" s="41" t="str">
        <f>IF(LEFT(VLOOKUP($A72,Privacy!$A$13:$E$97,5,0),21)='Auto Responses'!$A$73,'Auto Responses'!$A$74,VLOOKUP($A72,Privacy!$A$13:$E$97,4,0))&amp;""</f>
        <v/>
      </c>
      <c r="E72" s="351" t="str">
        <f>VLOOKUP($A72,Privacy!$A$13:$E$97,5,0)&amp;""</f>
        <v/>
      </c>
      <c r="F72" s="195"/>
      <c r="G72" s="37" t="str">
        <f>VLOOKUP($A72,Questions!$A$2:$X$333,21,0)&amp;""</f>
        <v>No</v>
      </c>
      <c r="H72" s="192"/>
      <c r="I72" s="52" t="str">
        <f>VLOOKUP($A72,Questions!$A$2:$X$333,23,0)&amp;""</f>
        <v>Minor Importance</v>
      </c>
      <c r="J72" s="192"/>
      <c r="K72" s="55" t="b">
        <v>0</v>
      </c>
      <c r="L72" s="1"/>
    </row>
    <row r="73" spans="1:12" s="36" customFormat="1" ht="48" customHeight="1" x14ac:dyDescent="0.25">
      <c r="A73" s="25" t="s">
        <v>748</v>
      </c>
      <c r="B73" s="24" t="str">
        <f>VLOOKUP($A73,Questions!$A$2:$X$333,2,0)</f>
        <v>Does any part of this service/project involve a web/app tracking component (e.g., use of web-tracking pixels, cookies)?</v>
      </c>
      <c r="C73" s="52" t="str">
        <f>VLOOKUP($A73,Privacy!$A$13:$E$97,3,0)&amp;""</f>
        <v>Yes</v>
      </c>
      <c r="D73" s="41" t="str">
        <f>IF(LEFT(VLOOKUP($A73,Privacy!$A$13:$E$97,5,0),21)='Auto Responses'!$A$73,'Auto Responses'!$A$74,VLOOKUP($A73,Privacy!$A$13:$E$97,4,0))&amp;""</f>
        <v xml:space="preserve">To deliver Cirrus Identity Services, both persistent cookies and session cookies are used. See the "Cookies" section of the Cirrus Identity Privacy Policy (https://www.cirrusidentity.com/resources/trust-and-compliance-center) for further details. </v>
      </c>
      <c r="E73" s="351" t="str">
        <f>VLOOKUP($A73,Privacy!$A$13:$E$97,5,0)&amp;""</f>
        <v>Describe the tracking component and what is done with the information.</v>
      </c>
      <c r="F73" s="195"/>
      <c r="G73" s="37" t="str">
        <f>VLOOKUP($A73,Questions!$A$2:$X$333,21,0)&amp;""</f>
        <v>No</v>
      </c>
      <c r="H73" s="192"/>
      <c r="I73" s="52" t="str">
        <f>VLOOKUP($A73,Questions!$A$2:$X$333,23,0)&amp;""</f>
        <v>Minor Importance</v>
      </c>
      <c r="J73" s="192"/>
      <c r="K73" s="55" t="b">
        <v>0</v>
      </c>
      <c r="L73" s="1"/>
    </row>
    <row r="74" spans="1:12" s="36" customFormat="1" ht="48" customHeight="1" x14ac:dyDescent="0.25">
      <c r="A74" s="25" t="s">
        <v>749</v>
      </c>
      <c r="B74" s="24" t="str">
        <f>VLOOKUP($A74,Questions!$A$2:$X$333,2,0)</f>
        <v>Does your staff (or a third party) have access to institutional data (e.g., financial, PHI, or other sensitive information) through any means?</v>
      </c>
      <c r="C74" s="52" t="str">
        <f>VLOOKUP($A74,Privacy!$A$13:$E$97,3,0)&amp;""</f>
        <v>Yes</v>
      </c>
      <c r="D74" s="41" t="str">
        <f>IF(LEFT(VLOOKUP($A74,Privacy!$A$13:$E$97,5,0),21)='Auto Responses'!$A$73,'Auto Responses'!$A$74,VLOOKUP($A74,Privacy!$A$13:$E$97,4,0))&amp;""</f>
        <v>Cirrus Identity staff that have an operational need, have access to the same data that customer staff with administrative authorization in the Cirrus Identity Console have access to. Certain third parties have access to institutional data by the fact Cirrus Identity runs services on third-party infrastructure (such as AWS).</v>
      </c>
      <c r="E74" s="351" t="str">
        <f>VLOOKUP($A74,Privacy!$A$13:$E$97,5,0)&amp;""</f>
        <v>Summarize the access that staff (or third parties) have to institutional data.</v>
      </c>
      <c r="F74" s="195"/>
      <c r="G74" s="37" t="str">
        <f>VLOOKUP($A74,Questions!$A$2:$X$333,21,0)&amp;""</f>
        <v>No</v>
      </c>
      <c r="H74" s="192"/>
      <c r="I74" s="52" t="str">
        <f>VLOOKUP($A74,Questions!$A$2:$X$333,23,0)&amp;""</f>
        <v>Minor Importance</v>
      </c>
      <c r="J74" s="192"/>
      <c r="K74" s="55" t="b">
        <v>0</v>
      </c>
      <c r="L74" s="1"/>
    </row>
    <row r="75" spans="1:12" s="36" customFormat="1" ht="48" customHeight="1" x14ac:dyDescent="0.25">
      <c r="A75" s="25" t="s">
        <v>751</v>
      </c>
      <c r="B75" s="24" t="str">
        <f>VLOOKUP($A75,Questions!$A$2:$X$333,2,0)</f>
        <v>Will you handle personal data in a manner compliant with all relevant laws, regulations, and applicable institution policies?</v>
      </c>
      <c r="C75" s="52" t="str">
        <f>VLOOKUP($A75,Privacy!$A$13:$E$97,3,0)&amp;""</f>
        <v>Yes</v>
      </c>
      <c r="D75" s="41" t="str">
        <f>IF(LEFT(VLOOKUP($A75,Privacy!$A$13:$E$97,5,0),21)='Auto Responses'!$A$73,'Auto Responses'!$A$74,VLOOKUP($A75,Privacy!$A$13:$E$97,4,0))&amp;""</f>
        <v/>
      </c>
      <c r="E75" s="351" t="str">
        <f>VLOOKUP($A75,Privacy!$A$13:$E$97,5,0)&amp;""</f>
        <v/>
      </c>
      <c r="F75" s="195"/>
      <c r="G75" s="37" t="str">
        <f>VLOOKUP($A75,Questions!$A$2:$X$333,21,0)&amp;""</f>
        <v>Yes</v>
      </c>
      <c r="H75" s="192"/>
      <c r="I75" s="52" t="str">
        <f>VLOOKUP($A75,Questions!$A$2:$X$333,23,0)&amp;""</f>
        <v>Minor Importance</v>
      </c>
      <c r="J75" s="192"/>
      <c r="K75" s="55" t="b">
        <v>0</v>
      </c>
      <c r="L75" s="1"/>
    </row>
    <row r="76" spans="1:12" s="1" customFormat="1" ht="37.4" customHeight="1" x14ac:dyDescent="0.25">
      <c r="A76" s="70" t="str">
        <f>VLOOKUP(LEFT($A77,4),'Auto Responses'!$N$4:$O$38,2,0)&amp;""</f>
        <v xml:space="preserve"> Privacy Policies and Procedures</v>
      </c>
      <c r="B76" s="29"/>
      <c r="C76" s="38"/>
      <c r="D76" s="38"/>
      <c r="E76" s="352"/>
      <c r="F76" s="139" t="s">
        <v>1089</v>
      </c>
      <c r="G76" s="359" t="s">
        <v>925</v>
      </c>
      <c r="H76" s="359" t="s">
        <v>927</v>
      </c>
      <c r="I76" s="359" t="s">
        <v>19</v>
      </c>
      <c r="J76" s="359" t="s">
        <v>912</v>
      </c>
      <c r="K76" s="38"/>
    </row>
    <row r="77" spans="1:12" s="36" customFormat="1" ht="48" customHeight="1" x14ac:dyDescent="0.25">
      <c r="A77" s="25" t="s">
        <v>752</v>
      </c>
      <c r="B77" s="24" t="str">
        <f>VLOOKUP($A77,Questions!$A$2:$X$333,2,0)</f>
        <v>Do you have a documented privacy management process?</v>
      </c>
      <c r="C77" s="52" t="str">
        <f>VLOOKUP($A77,Privacy!$A$13:$E$97,3,0)&amp;""</f>
        <v>Yes</v>
      </c>
      <c r="D77" s="41" t="str">
        <f>IF(LEFT(VLOOKUP($A77,Privacy!$A$13:$E$97,5,0),21)='Auto Responses'!$A$73,'Auto Responses'!$A$74,VLOOKUP($A77,Privacy!$A$13:$E$97,4,0))&amp;""</f>
        <v>See PCHG-01</v>
      </c>
      <c r="E77" s="351" t="str">
        <f>VLOOKUP($A77,Privacy!$A$13:$E$97,5,0)&amp;""</f>
        <v>Describe privacy management process or provide links or attach documentation.</v>
      </c>
      <c r="F77" s="195"/>
      <c r="G77" s="37" t="str">
        <f>VLOOKUP($A77,Questions!$A$2:$X$333,21,0)&amp;""</f>
        <v>Yes</v>
      </c>
      <c r="H77" s="192"/>
      <c r="I77" s="52" t="str">
        <f>VLOOKUP($A77,Questions!$A$2:$X$333,23,0)&amp;""</f>
        <v>Minor Importance</v>
      </c>
      <c r="J77" s="192"/>
      <c r="K77" s="55" t="b">
        <v>0</v>
      </c>
      <c r="L77" s="1"/>
    </row>
    <row r="78" spans="1:12" s="36" customFormat="1" ht="48" customHeight="1" x14ac:dyDescent="0.25">
      <c r="A78" s="25" t="s">
        <v>756</v>
      </c>
      <c r="B78" s="24" t="str">
        <f>VLOOKUP($A78,Questions!$A$2:$X$333,2,0)</f>
        <v>Are privacy principles designed into the product lifecycle (i.e., privacy-by-design)?</v>
      </c>
      <c r="C78" s="52" t="str">
        <f>VLOOKUP($A78,Privacy!$A$13:$E$97,3,0)&amp;""</f>
        <v>Yes</v>
      </c>
      <c r="D78" s="41" t="str">
        <f>IF(LEFT(VLOOKUP($A78,Privacy!$A$13:$E$97,5,0),21)='Auto Responses'!$A$73,'Auto Responses'!$A$74,VLOOKUP($A78,Privacy!$A$13:$E$97,4,0))&amp;""</f>
        <v>Privacy principles would be a consideration during the design phase of the Cirrus Identity Change Management Procedure.</v>
      </c>
      <c r="E78" s="351" t="str">
        <f>VLOOKUP($A78,Privacy!$A$13:$E$97,5,0)&amp;""</f>
        <v>Summarize the privacy principles designed into the product lifecycle.</v>
      </c>
      <c r="F78" s="195"/>
      <c r="G78" s="37" t="str">
        <f>VLOOKUP($A78,Questions!$A$2:$X$333,21,0)&amp;""</f>
        <v>Yes</v>
      </c>
      <c r="H78" s="192"/>
      <c r="I78" s="52" t="str">
        <f>VLOOKUP($A78,Questions!$A$2:$X$333,23,0)&amp;""</f>
        <v>Minor Importance</v>
      </c>
      <c r="J78" s="192"/>
      <c r="K78" s="55" t="b">
        <v>0</v>
      </c>
      <c r="L78" s="1"/>
    </row>
    <row r="79" spans="1:12" s="36" customFormat="1" ht="48" customHeight="1" x14ac:dyDescent="0.25">
      <c r="A79" s="25" t="s">
        <v>759</v>
      </c>
      <c r="B79" s="24" t="str">
        <f>VLOOKUP($A79,Questions!$A$2:$X$333,2,0)</f>
        <v>Will you comply with applicable breach notification laws?</v>
      </c>
      <c r="C79" s="52" t="str">
        <f>VLOOKUP($A79,Privacy!$A$13:$E$97,3,0)&amp;""</f>
        <v>Yes</v>
      </c>
      <c r="D79" s="41" t="str">
        <f>IF(LEFT(VLOOKUP($A79,Privacy!$A$13:$E$97,5,0),21)='Auto Responses'!$A$73,'Auto Responses'!$A$74,VLOOKUP($A79,Privacy!$A$13:$E$97,4,0))&amp;""</f>
        <v>See PDAT-08</v>
      </c>
      <c r="E79" s="351" t="str">
        <f>VLOOKUP($A79,Privacy!$A$13:$E$97,5,0)&amp;""</f>
        <v>State how quickly the institution will be notified.</v>
      </c>
      <c r="F79" s="195"/>
      <c r="G79" s="37" t="str">
        <f>VLOOKUP($A79,Questions!$A$2:$X$333,21,0)&amp;""</f>
        <v>Yes</v>
      </c>
      <c r="H79" s="192"/>
      <c r="I79" s="52" t="str">
        <f>VLOOKUP($A79,Questions!$A$2:$X$333,23,0)&amp;""</f>
        <v>Standard Importance</v>
      </c>
      <c r="J79" s="192"/>
      <c r="K79" s="55" t="b">
        <v>0</v>
      </c>
      <c r="L79" s="1"/>
    </row>
    <row r="80" spans="1:12" s="36" customFormat="1" ht="48" customHeight="1" x14ac:dyDescent="0.25">
      <c r="A80" s="25" t="s">
        <v>762</v>
      </c>
      <c r="B80" s="24" t="str">
        <f>VLOOKUP($A80,Questions!$A$2:$X$333,2,0)</f>
        <v>Will you comply with the institution's policies regarding user privacy and data protection?</v>
      </c>
      <c r="C80" s="52" t="str">
        <f>VLOOKUP($A80,Privacy!$A$13:$E$97,3,0)&amp;""</f>
        <v>Yes</v>
      </c>
      <c r="D80" s="41" t="str">
        <f>IF(LEFT(VLOOKUP($A80,Privacy!$A$13:$E$97,5,0),21)='Auto Responses'!$A$73,'Auto Responses'!$A$74,VLOOKUP($A80,Privacy!$A$13:$E$97,4,0))&amp;""</f>
        <v/>
      </c>
      <c r="E80" s="351" t="str">
        <f>VLOOKUP($A80,Privacy!$A$13:$E$97,5,0)&amp;""</f>
        <v/>
      </c>
      <c r="F80" s="195"/>
      <c r="G80" s="37" t="str">
        <f>VLOOKUP($A80,Questions!$A$2:$X$333,21,0)&amp;""</f>
        <v>Yes</v>
      </c>
      <c r="H80" s="192"/>
      <c r="I80" s="52" t="str">
        <f>VLOOKUP($A80,Questions!$A$2:$X$333,23,0)&amp;""</f>
        <v>Minor Importance</v>
      </c>
      <c r="J80" s="192"/>
      <c r="K80" s="55" t="b">
        <v>0</v>
      </c>
      <c r="L80" s="1"/>
    </row>
    <row r="81" spans="1:12" s="36" customFormat="1" ht="48" customHeight="1" x14ac:dyDescent="0.25">
      <c r="A81" s="25" t="s">
        <v>764</v>
      </c>
      <c r="B81" s="24" t="str">
        <f>VLOOKUP($A81,Questions!$A$2:$X$333,2,0)</f>
        <v>Is your company subject to the laws and regulations of the institution's geographic region?</v>
      </c>
      <c r="C81" s="52" t="str">
        <f>VLOOKUP($A81,Privacy!$A$13:$E$97,3,0)&amp;""</f>
        <v>Yes</v>
      </c>
      <c r="D81" s="41" t="str">
        <f>IF(LEFT(VLOOKUP($A81,Privacy!$A$13:$E$97,5,0),21)='Auto Responses'!$A$73,'Auto Responses'!$A$74,VLOOKUP($A81,Privacy!$A$13:$E$97,4,0))&amp;""</f>
        <v/>
      </c>
      <c r="E81" s="351" t="str">
        <f>VLOOKUP($A81,Privacy!$A$13:$E$97,5,0)&amp;""</f>
        <v/>
      </c>
      <c r="F81" s="195"/>
      <c r="G81" s="37" t="str">
        <f>VLOOKUP($A81,Questions!$A$2:$X$333,21,0)&amp;""</f>
        <v>Yes</v>
      </c>
      <c r="H81" s="192"/>
      <c r="I81" s="52" t="str">
        <f>VLOOKUP($A81,Questions!$A$2:$X$333,23,0)&amp;""</f>
        <v>Minor Importance</v>
      </c>
      <c r="J81" s="192"/>
      <c r="K81" s="55" t="b">
        <v>0</v>
      </c>
      <c r="L81" s="1"/>
    </row>
    <row r="82" spans="1:12" s="36" customFormat="1" ht="48" customHeight="1" x14ac:dyDescent="0.25">
      <c r="A82" s="25" t="s">
        <v>766</v>
      </c>
      <c r="B82" s="24" t="str">
        <f>VLOOKUP($A82,Questions!$A$2:$X$333,2,0)</f>
        <v>Do you have a privacy awareness/training program?*</v>
      </c>
      <c r="C82" s="52" t="str">
        <f>VLOOKUP($A82,Privacy!$A$13:$E$97,3,0)&amp;""</f>
        <v>Yes</v>
      </c>
      <c r="D82" s="41" t="str">
        <f>IF(LEFT(VLOOKUP($A82,Privacy!$A$13:$E$97,5,0),21)='Auto Responses'!$A$73,'Auto Responses'!$A$74,VLOOKUP($A82,Privacy!$A$13:$E$97,4,0))&amp;""</f>
        <v/>
      </c>
      <c r="E82" s="351" t="str">
        <f>VLOOKUP($A82,Privacy!$A$13:$E$97,5,0)&amp;""</f>
        <v/>
      </c>
      <c r="F82" s="195"/>
      <c r="G82" s="37" t="str">
        <f>VLOOKUP($A82,Questions!$A$2:$X$333,21,0)&amp;""</f>
        <v>Yes</v>
      </c>
      <c r="H82" s="192"/>
      <c r="I82" s="52" t="str">
        <f>VLOOKUP($A82,Questions!$A$2:$X$333,23,0)&amp;""</f>
        <v>Critical Importance</v>
      </c>
      <c r="J82" s="192"/>
      <c r="K82" s="55" t="b">
        <v>0</v>
      </c>
      <c r="L82" s="1"/>
    </row>
    <row r="83" spans="1:12" s="36" customFormat="1" ht="48" customHeight="1" x14ac:dyDescent="0.25">
      <c r="A83" s="25" t="s">
        <v>768</v>
      </c>
      <c r="B83" s="24" t="str">
        <f>VLOOKUP($A83,Questions!$A$2:$X$333,2,0)</f>
        <v>Is privacy awareness training mandatory for all employees?</v>
      </c>
      <c r="C83" s="52" t="str">
        <f>VLOOKUP($A83,Privacy!$A$13:$E$97,3,0)&amp;""</f>
        <v>Yes</v>
      </c>
      <c r="D83" s="41" t="str">
        <f>IF(LEFT(VLOOKUP($A83,Privacy!$A$13:$E$97,5,0),21)='Auto Responses'!$A$73,'Auto Responses'!$A$74,VLOOKUP($A83,Privacy!$A$13:$E$97,4,0))&amp;""</f>
        <v>The Cirrus Identity annual training program is mandatory for all staff.</v>
      </c>
      <c r="E83" s="351" t="str">
        <f>VLOOKUP($A83,Privacy!$A$13:$E$97,5,0)&amp;""</f>
        <v>Summarize your privacy awareness training content and state how frequently employees are required to undergo privacy awareness training</v>
      </c>
      <c r="F83" s="195"/>
      <c r="G83" s="37" t="str">
        <f>VLOOKUP($A83,Questions!$A$2:$X$333,21,0)&amp;""</f>
        <v>Yes</v>
      </c>
      <c r="H83" s="192"/>
      <c r="I83" s="52" t="str">
        <f>VLOOKUP($A83,Questions!$A$2:$X$333,23,0)&amp;""</f>
        <v>Minor Importance</v>
      </c>
      <c r="J83" s="192"/>
      <c r="K83" s="55" t="b">
        <v>0</v>
      </c>
      <c r="L83" s="1"/>
    </row>
    <row r="84" spans="1:12" s="36" customFormat="1" ht="48" customHeight="1" x14ac:dyDescent="0.25">
      <c r="A84" s="25" t="s">
        <v>772</v>
      </c>
      <c r="B84" s="24" t="str">
        <f>VLOOKUP($A84,Questions!$A$2:$X$333,2,0)</f>
        <v>Is AI privacy and ethics awareness/training required for all employees who work with AI?</v>
      </c>
      <c r="C84" s="52" t="str">
        <f>VLOOKUP($A84,Privacy!$A$13:$E$97,3,0)&amp;""</f>
        <v>No</v>
      </c>
      <c r="D84" s="41" t="str">
        <f>IF(LEFT(VLOOKUP($A84,Privacy!$A$13:$E$97,5,0),21)='Auto Responses'!$A$73,'Auto Responses'!$A$74,VLOOKUP($A84,Privacy!$A$13:$E$97,4,0))&amp;""</f>
        <v xml:space="preserve">Not Applicable - Cirrus Identity doesn't offer AI capabilities in our services. </v>
      </c>
      <c r="E84" s="351" t="str">
        <f>VLOOKUP($A84,Privacy!$A$13:$E$97,5,0)&amp;""</f>
        <v>Describe plans to include AI training.</v>
      </c>
      <c r="F84" s="195"/>
      <c r="G84" s="37" t="str">
        <f>VLOOKUP($A84,Questions!$A$2:$X$333,21,0)&amp;""</f>
        <v>Yes</v>
      </c>
      <c r="H84" s="192"/>
      <c r="I84" s="52" t="str">
        <f>VLOOKUP($A84,Questions!$A$2:$X$333,23,0)&amp;""</f>
        <v>Minor Importance</v>
      </c>
      <c r="J84" s="192"/>
      <c r="K84" s="55" t="b">
        <v>0</v>
      </c>
      <c r="L84" s="1"/>
    </row>
    <row r="85" spans="1:12" s="36" customFormat="1" ht="48" customHeight="1" x14ac:dyDescent="0.25">
      <c r="A85" s="25" t="s">
        <v>775</v>
      </c>
      <c r="B85" s="24" t="str">
        <f>VLOOKUP($A85,Questions!$A$2:$X$333,2,0)</f>
        <v>Do you have any decision-making processes that are completely automated (i.e., there is no human involvement)?</v>
      </c>
      <c r="C85" s="52" t="str">
        <f>VLOOKUP($A85,Privacy!$A$13:$E$97,3,0)&amp;""</f>
        <v>No</v>
      </c>
      <c r="D85" s="41" t="str">
        <f>IF(LEFT(VLOOKUP($A85,Privacy!$A$13:$E$97,5,0),21)='Auto Responses'!$A$73,'Auto Responses'!$A$74,VLOOKUP($A85,Privacy!$A$13:$E$97,4,0))&amp;""</f>
        <v/>
      </c>
      <c r="E85" s="351" t="str">
        <f>VLOOKUP($A85,Privacy!$A$13:$E$97,5,0)&amp;""</f>
        <v/>
      </c>
      <c r="F85" s="195"/>
      <c r="G85" s="37" t="str">
        <f>VLOOKUP($A85,Questions!$A$2:$X$333,21,0)&amp;""</f>
        <v>No</v>
      </c>
      <c r="H85" s="192"/>
      <c r="I85" s="52" t="str">
        <f>VLOOKUP($A85,Questions!$A$2:$X$333,23,0)&amp;""</f>
        <v>Minor Importance</v>
      </c>
      <c r="J85" s="192"/>
      <c r="K85" s="55" t="b">
        <v>0</v>
      </c>
      <c r="L85" s="1"/>
    </row>
    <row r="86" spans="1:12" s="36" customFormat="1" ht="48" customHeight="1" x14ac:dyDescent="0.25">
      <c r="A86" s="25" t="s">
        <v>777</v>
      </c>
      <c r="B86" s="24" t="str">
        <f>VLOOKUP($A86,Questions!$A$2:$X$333,2,0)</f>
        <v>Do you have a documented process for managing automated processing, including validations, monitoring, and data subject requests?</v>
      </c>
      <c r="C86" s="52" t="str">
        <f>VLOOKUP($A86,Privacy!$A$13:$E$97,3,0)&amp;""</f>
        <v>No</v>
      </c>
      <c r="D86" s="41" t="str">
        <f>IF(LEFT(VLOOKUP($A86,Privacy!$A$13:$E$97,5,0),21)='Auto Responses'!$A$73,'Auto Responses'!$A$74,VLOOKUP($A86,Privacy!$A$13:$E$97,4,0))&amp;""</f>
        <v/>
      </c>
      <c r="E86" s="351" t="str">
        <f>VLOOKUP($A86,Privacy!$A$13:$E$97,5,0)&amp;""</f>
        <v/>
      </c>
      <c r="F86" s="195"/>
      <c r="G86" s="37" t="str">
        <f>VLOOKUP($A86,Questions!$A$2:$X$333,21,0)&amp;""</f>
        <v>Yes</v>
      </c>
      <c r="H86" s="192"/>
      <c r="I86" s="52" t="str">
        <f>VLOOKUP($A86,Questions!$A$2:$X$333,23,0)&amp;""</f>
        <v>Minor Importance</v>
      </c>
      <c r="J86" s="192"/>
      <c r="K86" s="55" t="b">
        <v>0</v>
      </c>
      <c r="L86" s="1"/>
    </row>
    <row r="87" spans="1:12" s="36" customFormat="1" ht="48" customHeight="1" x14ac:dyDescent="0.25">
      <c r="A87" s="25" t="s">
        <v>780</v>
      </c>
      <c r="B87" s="24" t="str">
        <f>VLOOKUP($A87,Questions!$A$2:$X$333,2,0)</f>
        <v>Do you have a documented policy for sharing information with law enforcement?</v>
      </c>
      <c r="C87" s="52" t="str">
        <f>VLOOKUP($A87,Privacy!$A$13:$E$97,3,0)&amp;""</f>
        <v>Yes</v>
      </c>
      <c r="D87" s="41" t="str">
        <f>IF(LEFT(VLOOKUP($A87,Privacy!$A$13:$E$97,5,0),21)='Auto Responses'!$A$73,'Auto Responses'!$A$74,VLOOKUP($A87,Privacy!$A$13:$E$97,4,0))&amp;""</f>
        <v/>
      </c>
      <c r="E87" s="351" t="str">
        <f>VLOOKUP($A87,Privacy!$A$13:$E$97,5,0)&amp;""</f>
        <v/>
      </c>
      <c r="F87" s="195"/>
      <c r="G87" s="37" t="str">
        <f>VLOOKUP($A87,Questions!$A$2:$X$333,21,0)&amp;""</f>
        <v>Yes</v>
      </c>
      <c r="H87" s="192"/>
      <c r="I87" s="52" t="str">
        <f>VLOOKUP($A87,Questions!$A$2:$X$333,23,0)&amp;""</f>
        <v>Minor Importance</v>
      </c>
      <c r="J87" s="192"/>
      <c r="K87" s="55" t="b">
        <v>0</v>
      </c>
      <c r="L87" s="1"/>
    </row>
    <row r="88" spans="1:12" s="36" customFormat="1" ht="48" customHeight="1" x14ac:dyDescent="0.25">
      <c r="A88" s="25" t="s">
        <v>783</v>
      </c>
      <c r="B88" s="24" t="str">
        <f>VLOOKUP($A88,Questions!$A$2:$X$333,2,0)</f>
        <v>Do you share any institutional data with law enforcement without a valid warrant?*</v>
      </c>
      <c r="C88" s="52" t="str">
        <f>VLOOKUP($A88,Privacy!$A$13:$E$97,3,0)&amp;""</f>
        <v>No</v>
      </c>
      <c r="D88" s="41" t="str">
        <f>IF(LEFT(VLOOKUP($A88,Privacy!$A$13:$E$97,5,0),21)='Auto Responses'!$A$73,'Auto Responses'!$A$74,VLOOKUP($A88,Privacy!$A$13:$E$97,4,0))&amp;""</f>
        <v/>
      </c>
      <c r="E88" s="351" t="str">
        <f>VLOOKUP($A88,Privacy!$A$13:$E$97,5,0)&amp;""</f>
        <v/>
      </c>
      <c r="F88" s="195"/>
      <c r="G88" s="37" t="str">
        <f>VLOOKUP($A88,Questions!$A$2:$X$333,21,0)&amp;""</f>
        <v>No</v>
      </c>
      <c r="H88" s="192"/>
      <c r="I88" s="52" t="str">
        <f>VLOOKUP($A88,Questions!$A$2:$X$333,23,0)&amp;""</f>
        <v>Critical Importance</v>
      </c>
      <c r="J88" s="192"/>
      <c r="K88" s="55" t="b">
        <v>0</v>
      </c>
      <c r="L88" s="1"/>
    </row>
    <row r="89" spans="1:12" s="36" customFormat="1" ht="48" customHeight="1" x14ac:dyDescent="0.25">
      <c r="A89" s="25" t="s">
        <v>785</v>
      </c>
      <c r="B89" s="24" t="str">
        <f>VLOOKUP($A89,Questions!$A$2:$X$333,2,0)</f>
        <v>Does your incident response team include a privacy analyst/officer?</v>
      </c>
      <c r="C89" s="52" t="str">
        <f>VLOOKUP($A89,Privacy!$A$13:$E$97,3,0)&amp;""</f>
        <v>Yes</v>
      </c>
      <c r="D89" s="41" t="str">
        <f>IF(LEFT(VLOOKUP($A89,Privacy!$A$13:$E$97,5,0),21)='Auto Responses'!$A$73,'Auto Responses'!$A$74,VLOOKUP($A89,Privacy!$A$13:$E$97,4,0))&amp;""</f>
        <v/>
      </c>
      <c r="E89" s="351" t="str">
        <f>VLOOKUP($A89,Privacy!$A$13:$E$97,5,0)&amp;""</f>
        <v/>
      </c>
      <c r="F89" s="195"/>
      <c r="G89" s="37" t="str">
        <f>VLOOKUP($A89,Questions!$A$2:$X$333,21,0)&amp;""</f>
        <v>Yes</v>
      </c>
      <c r="H89" s="192"/>
      <c r="I89" s="52" t="str">
        <f>VLOOKUP($A89,Questions!$A$2:$X$333,23,0)&amp;""</f>
        <v>Minor Importance</v>
      </c>
      <c r="J89" s="192"/>
      <c r="K89" s="55" t="b">
        <v>0</v>
      </c>
      <c r="L89" s="1"/>
    </row>
    <row r="90" spans="1:12" s="1" customFormat="1" ht="37.4" customHeight="1" x14ac:dyDescent="0.25">
      <c r="A90" s="70" t="str">
        <f>VLOOKUP(LEFT($A91,4),'Auto Responses'!$N$4:$O$38,2,0)&amp;""</f>
        <v xml:space="preserve"> International Privacy</v>
      </c>
      <c r="B90" s="29"/>
      <c r="C90" s="38"/>
      <c r="D90" s="38"/>
      <c r="E90" s="352"/>
      <c r="F90" s="139" t="s">
        <v>1089</v>
      </c>
      <c r="G90" s="359" t="s">
        <v>925</v>
      </c>
      <c r="H90" s="359" t="s">
        <v>927</v>
      </c>
      <c r="I90" s="359" t="s">
        <v>19</v>
      </c>
      <c r="J90" s="359" t="s">
        <v>912</v>
      </c>
      <c r="K90" s="38"/>
    </row>
    <row r="91" spans="1:12" s="36" customFormat="1" ht="48" customHeight="1" x14ac:dyDescent="0.25">
      <c r="A91" s="25" t="s">
        <v>787</v>
      </c>
      <c r="B91" s="24" t="str">
        <f>VLOOKUP($A91,Questions!$A$2:$X$333,2,0)</f>
        <v>Will data be collected from or processed in or stored in the European Economic Area (EEA)?</v>
      </c>
      <c r="C91" s="52" t="str">
        <f>VLOOKUP($A91,Privacy!$A$13:$E$97,3,0)&amp;""</f>
        <v>Yes</v>
      </c>
      <c r="D91" s="41" t="str">
        <f>IF(LEFT(VLOOKUP($A91,Privacy!$A$13:$E$97,5,0),21)='Auto Responses'!$A$73,'Auto Responses'!$A$74,VLOOKUP($A91,Privacy!$A$13:$E$97,4,0))&amp;""</f>
        <v>Cirrus Identity operates production workloads from AWS datacenters in the Unitied States (see PDAT-04). At the direction of the Customer, Cirrus Identity may process data collected from an individual in the EEA. Unless modified by contract, The Customer is the primary Data Controller and ultimately controls what data is processed by Cirrus Identity.</v>
      </c>
      <c r="E91" s="351" t="str">
        <f>VLOOKUP($A91,Privacy!$A$13:$E$97,5,0)&amp;""</f>
        <v>Describe where and what activities will take place in the EEA.</v>
      </c>
      <c r="F91" s="195"/>
      <c r="G91" s="37" t="str">
        <f>VLOOKUP($A91,Questions!$A$2:$X$333,21,0)&amp;""</f>
        <v>No</v>
      </c>
      <c r="H91" s="192"/>
      <c r="I91" s="52" t="str">
        <f>VLOOKUP($A91,Questions!$A$2:$X$333,23,0)&amp;""</f>
        <v>Standard Importance</v>
      </c>
      <c r="J91" s="192"/>
      <c r="K91" s="55" t="b">
        <v>0</v>
      </c>
      <c r="L91" s="1"/>
    </row>
    <row r="92" spans="1:12" s="36" customFormat="1" ht="48" customHeight="1" x14ac:dyDescent="0.25">
      <c r="A92" s="25" t="s">
        <v>790</v>
      </c>
      <c r="B92" s="24" t="str">
        <f>VLOOKUP($A92,Questions!$A$2:$X$333,2,0)</f>
        <v>Do you have a data protection officer (DPO)?</v>
      </c>
      <c r="C92" s="52" t="str">
        <f>VLOOKUP($A92,Privacy!$A$13:$E$97,3,0)&amp;""</f>
        <v>Yes</v>
      </c>
      <c r="D92" s="41" t="str">
        <f>IF(LEFT(VLOOKUP($A92,Privacy!$A$13:$E$97,5,0),21)='Auto Responses'!$A$73,'Auto Responses'!$A$74,VLOOKUP($A92,Privacy!$A$13:$E$97,4,0))&amp;""</f>
        <v xml:space="preserve">The Dir of Compliance and Strategic Insights is the designated Data Protection Officer and the same contact as specified as "Solution Provider Contact" for this HECVAT submission. </v>
      </c>
      <c r="E92" s="351" t="str">
        <f>VLOOKUP($A92,Privacy!$A$13:$E$97,5,0)&amp;""</f>
        <v>Provide the name and contact information for the DPO.</v>
      </c>
      <c r="F92" s="195"/>
      <c r="G92" s="37" t="str">
        <f>VLOOKUP($A92,Questions!$A$2:$X$333,21,0)&amp;""</f>
        <v>Yes</v>
      </c>
      <c r="H92" s="192"/>
      <c r="I92" s="52" t="str">
        <f>VLOOKUP($A92,Questions!$A$2:$X$333,23,0)&amp;""</f>
        <v>Standard Importance</v>
      </c>
      <c r="J92" s="192"/>
      <c r="K92" s="55" t="b">
        <v>0</v>
      </c>
      <c r="L92" s="1"/>
    </row>
    <row r="93" spans="1:12" s="36" customFormat="1" ht="48" customHeight="1" x14ac:dyDescent="0.25">
      <c r="A93" s="25" t="s">
        <v>792</v>
      </c>
      <c r="B93" s="24" t="str">
        <f>VLOOKUP($A93,Questions!$A$2:$X$333,2,0)</f>
        <v>Will you sign appropriate GDPR Standard Contractual Clauses (SCCs) with the institution?</v>
      </c>
      <c r="C93" s="52" t="str">
        <f>VLOOKUP($A93,Privacy!$A$13:$E$97,3,0)&amp;""</f>
        <v>Yes</v>
      </c>
      <c r="D93" s="41" t="str">
        <f>IF(LEFT(VLOOKUP($A93,Privacy!$A$13:$E$97,5,0),21)='Auto Responses'!$A$73,'Auto Responses'!$A$74,VLOOKUP($A93,Privacy!$A$13:$E$97,4,0))&amp;""</f>
        <v/>
      </c>
      <c r="E93" s="351" t="str">
        <f>VLOOKUP($A93,Privacy!$A$13:$E$97,5,0)&amp;""</f>
        <v/>
      </c>
      <c r="F93" s="195"/>
      <c r="G93" s="37" t="str">
        <f>VLOOKUP($A93,Questions!$A$2:$X$333,21,0)&amp;""</f>
        <v>Yes</v>
      </c>
      <c r="H93" s="192"/>
      <c r="I93" s="52" t="str">
        <f>VLOOKUP($A93,Questions!$A$2:$X$333,23,0)&amp;""</f>
        <v>Standard Importance</v>
      </c>
      <c r="J93" s="192"/>
      <c r="K93" s="55" t="b">
        <v>0</v>
      </c>
      <c r="L93" s="1"/>
    </row>
    <row r="94" spans="1:12" s="36" customFormat="1" ht="48" customHeight="1" x14ac:dyDescent="0.25">
      <c r="A94" s="25" t="s">
        <v>794</v>
      </c>
      <c r="B94" s="24" t="str">
        <f>VLOOKUP($A94,Questions!$A$2:$X$333,2,0)</f>
        <v>Will data be collected from or processed in or stored in China?</v>
      </c>
      <c r="C94" s="52" t="str">
        <f>VLOOKUP($A94,Privacy!$A$13:$E$97,3,0)&amp;""</f>
        <v>No</v>
      </c>
      <c r="D94" s="41" t="str">
        <f>IF(LEFT(VLOOKUP($A94,Privacy!$A$13:$E$97,5,0),21)='Auto Responses'!$A$73,'Auto Responses'!$A$74,VLOOKUP($A94,Privacy!$A$13:$E$97,4,0))&amp;""</f>
        <v/>
      </c>
      <c r="E94" s="351" t="str">
        <f>VLOOKUP($A94,Privacy!$A$13:$E$97,5,0)&amp;""</f>
        <v/>
      </c>
      <c r="F94" s="195"/>
      <c r="G94" s="37" t="str">
        <f>VLOOKUP($A94,Questions!$A$2:$X$333,21,0)&amp;""</f>
        <v>No</v>
      </c>
      <c r="H94" s="192"/>
      <c r="I94" s="52" t="str">
        <f>VLOOKUP($A94,Questions!$A$2:$X$333,23,0)&amp;""</f>
        <v>Standard Importance</v>
      </c>
      <c r="J94" s="192"/>
      <c r="K94" s="55" t="b">
        <v>0</v>
      </c>
      <c r="L94" s="1"/>
    </row>
    <row r="95" spans="1:12" s="36" customFormat="1" ht="48" customHeight="1" x14ac:dyDescent="0.25">
      <c r="A95" s="25" t="s">
        <v>797</v>
      </c>
      <c r="B95" s="24" t="str">
        <f>VLOOKUP($A95,Questions!$A$2:$X$333,2,0)</f>
        <v>Do you comply with PIPL security, privacy, and data localization requirements?</v>
      </c>
      <c r="C95" s="52" t="str">
        <f>VLOOKUP($A95,Privacy!$A$13:$E$97,3,0)&amp;""</f>
        <v>No</v>
      </c>
      <c r="D95" s="41" t="str">
        <f>IF(LEFT(VLOOKUP($A95,Privacy!$A$13:$E$97,5,0),21)='Auto Responses'!$A$73,'Auto Responses'!$A$74,VLOOKUP($A95,Privacy!$A$13:$E$97,4,0))&amp;""</f>
        <v>Cirrus Identity does not have operations in the People's Republic of China (PRC).</v>
      </c>
      <c r="E95" s="351" t="str">
        <f>VLOOKUP($A95,Privacy!$A$13:$E$97,5,0)&amp;""</f>
        <v>Explain why.</v>
      </c>
      <c r="F95" s="195"/>
      <c r="G95" s="37" t="str">
        <f>VLOOKUP($A95,Questions!$A$2:$X$333,21,0)&amp;""</f>
        <v>Yes</v>
      </c>
      <c r="H95" s="192"/>
      <c r="I95" s="52" t="str">
        <f>VLOOKUP($A95,Questions!$A$2:$X$333,23,0)&amp;""</f>
        <v>Standard Importance</v>
      </c>
      <c r="J95" s="192"/>
      <c r="K95" s="55" t="b">
        <v>0</v>
      </c>
      <c r="L95" s="1"/>
    </row>
    <row r="96" spans="1:12" s="1" customFormat="1" ht="37.4" customHeight="1" x14ac:dyDescent="0.25">
      <c r="A96" s="70" t="str">
        <f>VLOOKUP(LEFT($A97,4),'Auto Responses'!$N$4:$O$38,2,0)&amp;""</f>
        <v xml:space="preserve"> Data Privacy</v>
      </c>
      <c r="B96" s="29"/>
      <c r="C96" s="38"/>
      <c r="D96" s="38"/>
      <c r="E96" s="352"/>
      <c r="F96" s="139" t="s">
        <v>1089</v>
      </c>
      <c r="G96" s="359" t="s">
        <v>925</v>
      </c>
      <c r="H96" s="359" t="s">
        <v>927</v>
      </c>
      <c r="I96" s="359" t="s">
        <v>19</v>
      </c>
      <c r="J96" s="359" t="s">
        <v>912</v>
      </c>
      <c r="K96" s="38"/>
    </row>
    <row r="97" spans="1:12" s="36" customFormat="1" ht="48" customHeight="1" x14ac:dyDescent="0.25">
      <c r="A97" s="25" t="s">
        <v>1094</v>
      </c>
      <c r="B97" s="24" t="str">
        <f>VLOOKUP($A97,Questions!$A$2:$X$333,2,0)</f>
        <v>Have you performed a Data Privacy Impact Assesssment for the solution/project?</v>
      </c>
      <c r="C97" s="52" t="str">
        <f>VLOOKUP($A97,Privacy!$A$13:$E$97,3,0)&amp;""</f>
        <v>No</v>
      </c>
      <c r="D97" s="41" t="str">
        <f>IF(LEFT(VLOOKUP($A97,Privacy!$A$13:$E$97,5,0),21)='Auto Responses'!$A$73,'Auto Responses'!$A$74,VLOOKUP($A97,Privacy!$A$13:$E$97,4,0))&amp;""</f>
        <v/>
      </c>
      <c r="E97" s="351" t="str">
        <f>VLOOKUP($A97,Privacy!$A$13:$E$97,5,0)&amp;""</f>
        <v/>
      </c>
      <c r="F97" s="195"/>
      <c r="G97" s="37" t="str">
        <f>VLOOKUP($A97,Questions!$A$2:$X$333,21,0)&amp;""</f>
        <v>Yes</v>
      </c>
      <c r="H97" s="192"/>
      <c r="I97" s="52" t="str">
        <f>VLOOKUP($A97,Questions!$A$2:$X$333,23,0)&amp;""</f>
        <v>Standard Importance</v>
      </c>
      <c r="J97" s="192"/>
      <c r="K97" s="55" t="b">
        <v>0</v>
      </c>
      <c r="L97" s="1"/>
    </row>
    <row r="98" spans="1:12" s="36" customFormat="1" ht="70.5" customHeight="1" x14ac:dyDescent="0.25">
      <c r="A98" s="25" t="s">
        <v>1095</v>
      </c>
      <c r="B98" s="24" t="str">
        <f>VLOOKUP($A98,Questions!$A$2:$X$333,2,0)</f>
        <v>Do you provide an end-user privacy notice about privacy policies and procedures that identify the purpose(s) for which personal information is collected, used, retained, and disclosed?</v>
      </c>
      <c r="C98" s="52" t="str">
        <f>VLOOKUP($A98,Privacy!$A$13:$E$97,3,0)&amp;""</f>
        <v>Yes</v>
      </c>
      <c r="D98" s="41" t="str">
        <f>IF(LEFT(VLOOKUP($A98,Privacy!$A$13:$E$97,5,0),21)='Auto Responses'!$A$73,'Auto Responses'!$A$74,VLOOKUP($A98,Privacy!$A$13:$E$97,4,0))&amp;""</f>
        <v/>
      </c>
      <c r="E98" s="351" t="str">
        <f>VLOOKUP($A98,Privacy!$A$13:$E$97,5,0)&amp;""</f>
        <v/>
      </c>
      <c r="F98" s="195"/>
      <c r="G98" s="37" t="str">
        <f>VLOOKUP($A98,Questions!$A$2:$X$333,21,0)&amp;""</f>
        <v>Yes</v>
      </c>
      <c r="H98" s="192"/>
      <c r="I98" s="52" t="str">
        <f>VLOOKUP($A98,Questions!$A$2:$X$333,23,0)&amp;""</f>
        <v>Standard Importance</v>
      </c>
      <c r="J98" s="192"/>
      <c r="K98" s="55" t="b">
        <v>0</v>
      </c>
      <c r="L98" s="1"/>
    </row>
    <row r="99" spans="1:12" s="36" customFormat="1" ht="65.25" customHeight="1" x14ac:dyDescent="0.25">
      <c r="A99" s="25" t="s">
        <v>1096</v>
      </c>
      <c r="B99" s="24" t="str">
        <f>VLOOKUP($A99,Questions!$A$2:$X$333,2,0)</f>
        <v>Do you describe the choices available to the individual and obtain implicit or explicit consent with respect to the collection, use, and disclosure of personal information?</v>
      </c>
      <c r="C99" s="52" t="str">
        <f>VLOOKUP($A99,Privacy!$A$13:$E$97,3,0)&amp;""</f>
        <v>Yes</v>
      </c>
      <c r="D99" s="41" t="str">
        <f>IF(LEFT(VLOOKUP($A99,Privacy!$A$13:$E$97,5,0),21)='Auto Responses'!$A$73,'Auto Responses'!$A$74,VLOOKUP($A99,Privacy!$A$13:$E$97,4,0))&amp;""</f>
        <v/>
      </c>
      <c r="E99" s="351" t="str">
        <f>VLOOKUP($A99,Privacy!$A$13:$E$97,5,0)&amp;""</f>
        <v/>
      </c>
      <c r="F99" s="195"/>
      <c r="G99" s="37" t="str">
        <f>VLOOKUP($A99,Questions!$A$2:$X$333,21,0)&amp;""</f>
        <v>Yes</v>
      </c>
      <c r="H99" s="192"/>
      <c r="I99" s="52" t="str">
        <f>VLOOKUP($A99,Questions!$A$2:$X$333,23,0)&amp;""</f>
        <v>Standard Importance</v>
      </c>
      <c r="J99" s="192"/>
      <c r="K99" s="55" t="b">
        <v>0</v>
      </c>
      <c r="L99" s="1"/>
    </row>
    <row r="100" spans="1:12" s="36" customFormat="1" ht="69.75" customHeight="1" x14ac:dyDescent="0.25">
      <c r="A100" s="25" t="s">
        <v>1097</v>
      </c>
      <c r="B100" s="24" t="str">
        <f>VLOOKUP($A100,Questions!$A$2:$X$333,2,0)</f>
        <v>Do you collect personal information only for the purpose(s) identified in the agreement with an institution or, if there is none, the purpose(s) identified in the privacy notice?</v>
      </c>
      <c r="C100" s="52" t="str">
        <f>VLOOKUP($A100,Privacy!$A$13:$E$97,3,0)&amp;""</f>
        <v>Yes</v>
      </c>
      <c r="D100" s="41" t="str">
        <f>IF(LEFT(VLOOKUP($A100,Privacy!$A$13:$E$97,5,0),21)='Auto Responses'!$A$73,'Auto Responses'!$A$74,VLOOKUP($A100,Privacy!$A$13:$E$97,4,0))&amp;""</f>
        <v/>
      </c>
      <c r="E100" s="351" t="str">
        <f>VLOOKUP($A100,Privacy!$A$13:$E$97,5,0)&amp;""</f>
        <v/>
      </c>
      <c r="F100" s="195"/>
      <c r="G100" s="37" t="str">
        <f>VLOOKUP($A100,Questions!$A$2:$X$333,21,0)&amp;""</f>
        <v>Yes</v>
      </c>
      <c r="H100" s="192"/>
      <c r="I100" s="52" t="str">
        <f>VLOOKUP($A100,Questions!$A$2:$X$333,23,0)&amp;""</f>
        <v>Standard Importance</v>
      </c>
      <c r="J100" s="192"/>
      <c r="K100" s="55" t="b">
        <v>0</v>
      </c>
      <c r="L100" s="1"/>
    </row>
    <row r="101" spans="1:12" s="36" customFormat="1" ht="48" customHeight="1" x14ac:dyDescent="0.25">
      <c r="A101" s="25" t="s">
        <v>1098</v>
      </c>
      <c r="B101" s="24" t="str">
        <f>VLOOKUP($A101,Questions!$A$2:$X$333,2,0)</f>
        <v>Do you have a documented list of personal data your service maintains?</v>
      </c>
      <c r="C101" s="52" t="str">
        <f>VLOOKUP($A101,Privacy!$A$13:$E$97,3,0)&amp;""</f>
        <v>Yes</v>
      </c>
      <c r="D101" s="41" t="str">
        <f>IF(LEFT(VLOOKUP($A101,Privacy!$A$13:$E$97,5,0),21)='Auto Responses'!$A$73,'Auto Responses'!$A$74,VLOOKUP($A101,Privacy!$A$13:$E$97,4,0))&amp;""</f>
        <v/>
      </c>
      <c r="E101" s="351" t="str">
        <f>VLOOKUP($A101,Privacy!$A$13:$E$97,5,0)&amp;""</f>
        <v/>
      </c>
      <c r="F101" s="195"/>
      <c r="G101" s="37" t="str">
        <f>VLOOKUP($A101,Questions!$A$2:$X$333,21,0)&amp;""</f>
        <v>Yes</v>
      </c>
      <c r="H101" s="192"/>
      <c r="I101" s="52" t="str">
        <f>VLOOKUP($A101,Questions!$A$2:$X$333,23,0)&amp;""</f>
        <v>Standard Importance</v>
      </c>
      <c r="J101" s="192"/>
      <c r="K101" s="55" t="b">
        <v>0</v>
      </c>
      <c r="L101" s="1"/>
    </row>
    <row r="102" spans="1:12" s="36" customFormat="1" ht="66.75" customHeight="1" x14ac:dyDescent="0.25">
      <c r="A102" s="25" t="s">
        <v>1099</v>
      </c>
      <c r="B102" s="24" t="str">
        <f>VLOOKUP($A102,Questions!$A$2:$X$333,2,0)</f>
        <v>Do you retain personal information for only as long as necessary to fulfill the stated purpose(s) or as required by law or regulation and thereafter appropriately dispose of such information?</v>
      </c>
      <c r="C102" s="52" t="str">
        <f>VLOOKUP($A102,Privacy!$A$13:$E$97,3,0)&amp;""</f>
        <v>Yes</v>
      </c>
      <c r="D102" s="41" t="str">
        <f>IF(LEFT(VLOOKUP($A102,Privacy!$A$13:$E$97,5,0),21)='Auto Responses'!$A$73,'Auto Responses'!$A$74,VLOOKUP($A102,Privacy!$A$13:$E$97,4,0))&amp;""</f>
        <v/>
      </c>
      <c r="E102" s="351" t="str">
        <f>VLOOKUP($A102,Privacy!$A$13:$E$97,5,0)&amp;""</f>
        <v/>
      </c>
      <c r="F102" s="195"/>
      <c r="G102" s="37" t="str">
        <f>VLOOKUP($A102,Questions!$A$2:$X$333,21,0)&amp;""</f>
        <v>Yes</v>
      </c>
      <c r="H102" s="192"/>
      <c r="I102" s="52" t="str">
        <f>VLOOKUP($A102,Questions!$A$2:$X$333,23,0)&amp;""</f>
        <v>Standard Importance</v>
      </c>
      <c r="J102" s="192"/>
      <c r="K102" s="55" t="b">
        <v>0</v>
      </c>
      <c r="L102" s="1"/>
    </row>
    <row r="103" spans="1:12" s="36" customFormat="1" ht="51" customHeight="1" x14ac:dyDescent="0.25">
      <c r="A103" s="25" t="s">
        <v>1100</v>
      </c>
      <c r="B103" s="24" t="str">
        <f>VLOOKUP($A103,Questions!$A$2:$X$333,2,0)</f>
        <v>Do you provide individuals with access to their personal information for review and update (i.e., data subject rights)?</v>
      </c>
      <c r="C103" s="52" t="str">
        <f>VLOOKUP($A103,Privacy!$A$13:$E$97,3,0)&amp;""</f>
        <v>Yes</v>
      </c>
      <c r="D103" s="41" t="str">
        <f>IF(LEFT(VLOOKUP($A103,Privacy!$A$13:$E$97,5,0),21)='Auto Responses'!$A$73,'Auto Responses'!$A$74,VLOOKUP($A103,Privacy!$A$13:$E$97,4,0))&amp;""</f>
        <v/>
      </c>
      <c r="E103" s="351" t="str">
        <f>VLOOKUP($A103,Privacy!$A$13:$E$97,5,0)&amp;""</f>
        <v/>
      </c>
      <c r="F103" s="195"/>
      <c r="G103" s="37" t="str">
        <f>VLOOKUP($A103,Questions!$A$2:$X$333,21,0)&amp;""</f>
        <v>Yes</v>
      </c>
      <c r="H103" s="192"/>
      <c r="I103" s="52" t="str">
        <f>VLOOKUP($A103,Questions!$A$2:$X$333,23,0)&amp;""</f>
        <v>Standard Importance</v>
      </c>
      <c r="J103" s="192"/>
      <c r="K103" s="55" t="b">
        <v>0</v>
      </c>
      <c r="L103" s="1"/>
    </row>
    <row r="104" spans="1:12" s="36" customFormat="1" ht="101.25" customHeight="1" x14ac:dyDescent="0.25">
      <c r="A104" s="25" t="s">
        <v>1101</v>
      </c>
      <c r="B104" s="24" t="str">
        <f>VLOOKUP($A104,Questions!$A$2:$X$333,2,0)</f>
        <v>Do you disclose personal information to third parties only for the purpose(s) identified in the privacy notice or with the implicit or explicit consent of the individual?</v>
      </c>
      <c r="C104" s="52" t="str">
        <f>VLOOKUP($A104,Privacy!$A$13:$E$97,3,0)&amp;""</f>
        <v>Yes</v>
      </c>
      <c r="D104" s="41" t="str">
        <f>IF(LEFT(VLOOKUP($A104,Privacy!$A$13:$E$97,5,0),21)='Auto Responses'!$A$73,'Auto Responses'!$A$74,VLOOKUP($A104,Privacy!$A$13:$E$97,4,0))&amp;""</f>
        <v/>
      </c>
      <c r="E104" s="351" t="str">
        <f>VLOOKUP($A104,Privacy!$A$13:$E$97,5,0)&amp;""</f>
        <v/>
      </c>
      <c r="F104" s="195"/>
      <c r="G104" s="37" t="str">
        <f>VLOOKUP($A104,Questions!$A$2:$X$333,21,0)&amp;""</f>
        <v>Yes</v>
      </c>
      <c r="H104" s="192"/>
      <c r="I104" s="52" t="str">
        <f>VLOOKUP($A104,Questions!$A$2:$X$333,23,0)&amp;""</f>
        <v>Standard Importance</v>
      </c>
      <c r="J104" s="192"/>
      <c r="K104" s="55" t="b">
        <v>0</v>
      </c>
      <c r="L104" s="1"/>
    </row>
    <row r="105" spans="1:12" s="36" customFormat="1" ht="48" customHeight="1" x14ac:dyDescent="0.25">
      <c r="A105" s="25" t="s">
        <v>1102</v>
      </c>
      <c r="B105" s="24" t="str">
        <f>VLOOKUP($A105,Questions!$A$2:$X$333,2,0)</f>
        <v>Do you protect personal information against unauthorized access (both physical and logical)?</v>
      </c>
      <c r="C105" s="52" t="str">
        <f>VLOOKUP($A105,Privacy!$A$13:$E$97,3,0)&amp;""</f>
        <v>Yes</v>
      </c>
      <c r="D105" s="41" t="str">
        <f>IF(LEFT(VLOOKUP($A105,Privacy!$A$13:$E$97,5,0),21)='Auto Responses'!$A$73,'Auto Responses'!$A$74,VLOOKUP($A105,Privacy!$A$13:$E$97,4,0))&amp;""</f>
        <v/>
      </c>
      <c r="E105" s="351" t="str">
        <f>VLOOKUP($A105,Privacy!$A$13:$E$97,5,0)&amp;""</f>
        <v/>
      </c>
      <c r="F105" s="195"/>
      <c r="G105" s="37" t="str">
        <f>VLOOKUP($A105,Questions!$A$2:$X$333,21,0)&amp;""</f>
        <v>Yes</v>
      </c>
      <c r="H105" s="192"/>
      <c r="I105" s="52" t="str">
        <f>VLOOKUP($A105,Questions!$A$2:$X$333,23,0)&amp;""</f>
        <v>Standard Importance</v>
      </c>
      <c r="J105" s="192"/>
      <c r="K105" s="55" t="b">
        <v>0</v>
      </c>
      <c r="L105" s="1"/>
    </row>
    <row r="106" spans="1:12" s="36" customFormat="1" ht="48" customHeight="1" x14ac:dyDescent="0.25">
      <c r="A106" s="25" t="s">
        <v>1103</v>
      </c>
      <c r="B106" s="24" t="str">
        <f>VLOOKUP($A106,Questions!$A$2:$X$333,2,0)</f>
        <v>Do you maintain accurate, complete, and relevant personal information for the purposes identified in the privacy notice?</v>
      </c>
      <c r="C106" s="52" t="str">
        <f>VLOOKUP($A106,Privacy!$A$13:$E$97,3,0)&amp;""</f>
        <v>Yes</v>
      </c>
      <c r="D106" s="41" t="str">
        <f>IF(LEFT(VLOOKUP($A106,Privacy!$A$13:$E$97,5,0),21)='Auto Responses'!$A$73,'Auto Responses'!$A$74,VLOOKUP($A106,Privacy!$A$13:$E$97,4,0))&amp;""</f>
        <v/>
      </c>
      <c r="E106" s="351" t="str">
        <f>VLOOKUP($A106,Privacy!$A$13:$E$97,5,0)&amp;""</f>
        <v/>
      </c>
      <c r="F106" s="195"/>
      <c r="G106" s="37" t="str">
        <f>VLOOKUP($A106,Questions!$A$2:$X$333,21,0)&amp;""</f>
        <v>Yes</v>
      </c>
      <c r="H106" s="192"/>
      <c r="I106" s="52" t="str">
        <f>VLOOKUP($A106,Questions!$A$2:$X$333,23,0)&amp;""</f>
        <v>Standard Importance</v>
      </c>
      <c r="J106" s="192"/>
      <c r="K106" s="55" t="b">
        <v>0</v>
      </c>
      <c r="L106" s="1"/>
    </row>
    <row r="107" spans="1:12" s="36" customFormat="1" ht="48" customHeight="1" x14ac:dyDescent="0.25">
      <c r="A107" s="25" t="s">
        <v>1104</v>
      </c>
      <c r="B107" s="24" t="str">
        <f>VLOOKUP($A107,Questions!$A$2:$X$333,2,0)</f>
        <v>Do you have procedures to address privacy-related noncompliance complaints and disputes?</v>
      </c>
      <c r="C107" s="52" t="str">
        <f>VLOOKUP($A107,Privacy!$A$13:$E$97,3,0)&amp;""</f>
        <v>Yes</v>
      </c>
      <c r="D107" s="41" t="str">
        <f>IF(LEFT(VLOOKUP($A107,Privacy!$A$13:$E$97,5,0),21)='Auto Responses'!$A$73,'Auto Responses'!$A$74,VLOOKUP($A107,Privacy!$A$13:$E$97,4,0))&amp;""</f>
        <v/>
      </c>
      <c r="E107" s="351" t="str">
        <f>VLOOKUP($A107,Privacy!$A$13:$E$97,5,0)&amp;""</f>
        <v/>
      </c>
      <c r="F107" s="195"/>
      <c r="G107" s="37" t="str">
        <f>VLOOKUP($A107,Questions!$A$2:$X$333,21,0)&amp;""</f>
        <v>Yes</v>
      </c>
      <c r="H107" s="192"/>
      <c r="I107" s="52" t="str">
        <f>VLOOKUP($A107,Questions!$A$2:$X$333,23,0)&amp;""</f>
        <v>Standard Importance</v>
      </c>
      <c r="J107" s="192"/>
      <c r="K107" s="55" t="b">
        <v>0</v>
      </c>
      <c r="L107" s="1"/>
    </row>
    <row r="108" spans="1:12" s="36" customFormat="1" ht="48" customHeight="1" x14ac:dyDescent="0.25">
      <c r="A108" s="25" t="s">
        <v>1105</v>
      </c>
      <c r="B108" s="24" t="str">
        <f>VLOOKUP($A108,Questions!$A$2:$X$333,2,0)</f>
        <v>Do you "anonymize," "de-identify," or otherwise mask personal data?</v>
      </c>
      <c r="C108" s="52" t="str">
        <f>VLOOKUP($A108,Privacy!$A$13:$E$97,3,0)&amp;""</f>
        <v>No</v>
      </c>
      <c r="D108" s="41" t="str">
        <f>IF(LEFT(VLOOKUP($A108,Privacy!$A$13:$E$97,5,0),21)='Auto Responses'!$A$73,'Auto Responses'!$A$74,VLOOKUP($A108,Privacy!$A$13:$E$97,4,0))&amp;""</f>
        <v/>
      </c>
      <c r="E108" s="351" t="str">
        <f>VLOOKUP($A108,Privacy!$A$13:$E$97,5,0)&amp;""</f>
        <v/>
      </c>
      <c r="F108" s="195"/>
      <c r="G108" s="37" t="str">
        <f>VLOOKUP($A108,Questions!$A$2:$X$333,21,0)&amp;""</f>
        <v>Yes</v>
      </c>
      <c r="H108" s="192"/>
      <c r="I108" s="52" t="str">
        <f>VLOOKUP($A108,Questions!$A$2:$X$333,23,0)&amp;""</f>
        <v>Standard Importance</v>
      </c>
      <c r="J108" s="192"/>
      <c r="K108" s="55" t="b">
        <v>0</v>
      </c>
      <c r="L108" s="1"/>
    </row>
    <row r="109" spans="1:12" s="36" customFormat="1" ht="104.25" customHeight="1" x14ac:dyDescent="0.25">
      <c r="A109" s="25" t="s">
        <v>1106</v>
      </c>
      <c r="B109" s="24" t="str">
        <f>VLOOKUP($A109,Questions!$A$2:$X$333,2,0)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109" s="52" t="str">
        <f>VLOOKUP($A109,Privacy!$A$13:$E$97,3,0)&amp;""</f>
        <v>No</v>
      </c>
      <c r="D109" s="41" t="str">
        <f>IF(LEFT(VLOOKUP($A109,Privacy!$A$13:$E$97,5,0),21)='Auto Responses'!$A$73,'Auto Responses'!$A$74,VLOOKUP($A109,Privacy!$A$13:$E$97,4,0))&amp;""</f>
        <v/>
      </c>
      <c r="E109" s="351" t="str">
        <f>VLOOKUP($A109,Privacy!$A$13:$E$97,5,0)&amp;""</f>
        <v/>
      </c>
      <c r="F109" s="195"/>
      <c r="G109" s="37" t="str">
        <f>VLOOKUP($A109,Questions!$A$2:$X$333,21,0)&amp;""</f>
        <v>No</v>
      </c>
      <c r="H109" s="192"/>
      <c r="I109" s="52" t="str">
        <f>VLOOKUP($A109,Questions!$A$2:$X$333,23,0)&amp;""</f>
        <v>Standard Importance</v>
      </c>
      <c r="J109" s="192"/>
      <c r="K109" s="55" t="b">
        <v>0</v>
      </c>
      <c r="L109" s="1"/>
    </row>
    <row r="110" spans="1:12" s="36" customFormat="1" ht="48" customHeight="1" x14ac:dyDescent="0.25">
      <c r="A110" s="25" t="s">
        <v>1107</v>
      </c>
      <c r="B110" s="24" t="str">
        <f>VLOOKUP($A110,Questions!$A$2:$X$333,2,0)</f>
        <v>Do you certify stop-processing requests, including any data that is processed by a third party on your behalf?</v>
      </c>
      <c r="C110" s="52" t="str">
        <f>VLOOKUP($A110,Privacy!$A$13:$E$97,3,0)&amp;""</f>
        <v>Yes</v>
      </c>
      <c r="D110" s="41" t="str">
        <f>IF(LEFT(VLOOKUP($A110,Privacy!$A$13:$E$97,5,0),21)='Auto Responses'!$A$73,'Auto Responses'!$A$74,VLOOKUP($A110,Privacy!$A$13:$E$97,4,0))&amp;""</f>
        <v/>
      </c>
      <c r="E110" s="351" t="str">
        <f>VLOOKUP($A110,Privacy!$A$13:$E$97,5,0)&amp;""</f>
        <v/>
      </c>
      <c r="F110" s="195"/>
      <c r="G110" s="37" t="str">
        <f>VLOOKUP($A110,Questions!$A$2:$X$333,21,0)&amp;""</f>
        <v>Yes</v>
      </c>
      <c r="H110" s="192"/>
      <c r="I110" s="52" t="str">
        <f>VLOOKUP($A110,Questions!$A$2:$X$333,23,0)&amp;""</f>
        <v>Standard Importance</v>
      </c>
      <c r="J110" s="192"/>
      <c r="K110" s="55" t="b">
        <v>0</v>
      </c>
      <c r="L110" s="1"/>
    </row>
    <row r="111" spans="1:12" s="36" customFormat="1" ht="48" customHeight="1" x14ac:dyDescent="0.25">
      <c r="A111" s="25" t="s">
        <v>1108</v>
      </c>
      <c r="B111" s="24" t="str">
        <f>VLOOKUP($A111,Questions!$A$2:$X$333,2,0)</f>
        <v>Do you have a process to review code for ethical considerations?</v>
      </c>
      <c r="C111" s="52" t="str">
        <f>VLOOKUP($A111,Privacy!$A$13:$E$97,3,0)&amp;""</f>
        <v>No</v>
      </c>
      <c r="D111" s="41" t="str">
        <f>IF(LEFT(VLOOKUP($A111,Privacy!$A$13:$E$97,5,0),21)='Auto Responses'!$A$73,'Auto Responses'!$A$74,VLOOKUP($A111,Privacy!$A$13:$E$97,4,0))&amp;""</f>
        <v/>
      </c>
      <c r="E111" s="351" t="str">
        <f>VLOOKUP($A111,Privacy!$A$13:$E$97,5,0)&amp;""</f>
        <v/>
      </c>
      <c r="F111" s="195"/>
      <c r="G111" s="37" t="str">
        <f>VLOOKUP($A111,Questions!$A$2:$X$333,21,0)&amp;""</f>
        <v>Yes</v>
      </c>
      <c r="H111" s="192"/>
      <c r="I111" s="52" t="str">
        <f>VLOOKUP($A111,Questions!$A$2:$X$333,23,0)&amp;""</f>
        <v>Standard Importance</v>
      </c>
      <c r="J111" s="192"/>
      <c r="K111" s="55" t="b">
        <v>0</v>
      </c>
      <c r="L111" s="1"/>
    </row>
    <row r="112" spans="1:12" s="1" customFormat="1" ht="37.4" customHeight="1" x14ac:dyDescent="0.25">
      <c r="A112" s="70" t="str">
        <f>VLOOKUP(LEFT($A113,4),'Auto Responses'!$N$4:$O$38,2,0)&amp;""</f>
        <v xml:space="preserve"> Privacy and AI</v>
      </c>
      <c r="B112" s="29"/>
      <c r="C112" s="38"/>
      <c r="D112" s="38"/>
      <c r="E112" s="352"/>
      <c r="F112" s="139" t="s">
        <v>1089</v>
      </c>
      <c r="G112" s="359" t="s">
        <v>925</v>
      </c>
      <c r="H112" s="359" t="s">
        <v>927</v>
      </c>
      <c r="I112" s="359" t="s">
        <v>19</v>
      </c>
      <c r="J112" s="359" t="s">
        <v>912</v>
      </c>
      <c r="K112" s="38"/>
    </row>
    <row r="113" spans="1:12" s="36" customFormat="1" ht="48" customHeight="1" x14ac:dyDescent="0.25">
      <c r="A113" s="25" t="s">
        <v>1109</v>
      </c>
      <c r="B113" s="24" t="str">
        <f>VLOOKUP($A113,Questions!$A$2:$X$333,2,0)</f>
        <v>Does your service use AI for the processing of institutional data?</v>
      </c>
      <c r="C113" s="52" t="str">
        <f>VLOOKUP($A113,Privacy!$A$13:$E$97,3,0)&amp;""</f>
        <v/>
      </c>
      <c r="D113" s="41" t="str">
        <f>IF(LEFT(VLOOKUP($A113,Privacy!$A$13:$E$97,5,0),21)='Auto Responses'!$A$73,'Auto Responses'!$A$74,VLOOKUP($A113,Privacy!$A$13:$E$97,4,0))&amp;""</f>
        <v>Not applicable.</v>
      </c>
      <c r="E113" s="351" t="str">
        <f>VLOOKUP($A113,Privacy!$A$13:$E$97,5,0)&amp;""</f>
        <v>Based on the response to REQU-04 on the "START HERE" tab, this question does not apply to this product or service.</v>
      </c>
      <c r="F113" s="195"/>
      <c r="G113" s="37" t="str">
        <f>VLOOKUP($A113,Questions!$A$2:$X$333,21,0)&amp;""</f>
        <v>No</v>
      </c>
      <c r="H113" s="192"/>
      <c r="I113" s="52" t="str">
        <f>VLOOKUP($A113,Questions!$A$2:$X$333,23,0)&amp;""</f>
        <v>Standard Importance</v>
      </c>
      <c r="J113" s="192"/>
      <c r="K113" s="55" t="b">
        <v>0</v>
      </c>
      <c r="L113" s="1"/>
    </row>
    <row r="114" spans="1:12" s="36" customFormat="1" ht="48" customHeight="1" x14ac:dyDescent="0.25">
      <c r="A114" s="25" t="s">
        <v>1110</v>
      </c>
      <c r="B114" s="24" t="str">
        <f>VLOOKUP($A114,Questions!$A$2:$X$333,2,0)</f>
        <v>Is any institutional data retained in AI processing?*</v>
      </c>
      <c r="C114" s="52" t="str">
        <f>VLOOKUP($A114,Privacy!$A$13:$E$97,3,0)&amp;""</f>
        <v/>
      </c>
      <c r="D114" s="41" t="str">
        <f>IF(LEFT(VLOOKUP($A114,Privacy!$A$13:$E$97,5,0),21)='Auto Responses'!$A$73,'Auto Responses'!$A$74,VLOOKUP($A114,Privacy!$A$13:$E$97,4,0))&amp;""</f>
        <v>Not applicable.</v>
      </c>
      <c r="E114" s="351" t="str">
        <f>VLOOKUP($A114,Privacy!$A$13:$E$97,5,0)&amp;""</f>
        <v>Based on the response to REQU-04 on the "START HERE" tab, this question does not apply to this product or service.</v>
      </c>
      <c r="F114" s="195"/>
      <c r="G114" s="37" t="str">
        <f>VLOOKUP($A114,Questions!$A$2:$X$333,21,0)&amp;""</f>
        <v>No</v>
      </c>
      <c r="H114" s="192"/>
      <c r="I114" s="52" t="str">
        <f>VLOOKUP($A114,Questions!$A$2:$X$333,23,0)&amp;""</f>
        <v>Critical Importance</v>
      </c>
      <c r="J114" s="192"/>
      <c r="K114" s="55" t="b">
        <v>0</v>
      </c>
      <c r="L114" s="1"/>
    </row>
    <row r="115" spans="1:12" s="36" customFormat="1" ht="48" customHeight="1" x14ac:dyDescent="0.25">
      <c r="A115" s="25" t="s">
        <v>808</v>
      </c>
      <c r="B115" s="24" t="str">
        <f>VLOOKUP($A115,Questions!$A$2:$X$333,2,0)</f>
        <v>Do you have agreements in place with third parties or subprocessors regarding the protection of customer data and use of AI?*</v>
      </c>
      <c r="C115" s="52" t="str">
        <f>VLOOKUP($A115,Privacy!$A$13:$E$97,3,0)&amp;""</f>
        <v/>
      </c>
      <c r="D115" s="41" t="str">
        <f>IF(LEFT(VLOOKUP($A115,Privacy!$A$13:$E$97,5,0),21)='Auto Responses'!$A$73,'Auto Responses'!$A$74,VLOOKUP($A115,Privacy!$A$13:$E$97,4,0))&amp;""</f>
        <v>Not applicable.</v>
      </c>
      <c r="E115" s="351" t="str">
        <f>VLOOKUP($A115,Privacy!$A$13:$E$97,5,0)&amp;""</f>
        <v>Based on the response to REQU-04 on the "START HERE" tab, this question does not apply to this product or service.</v>
      </c>
      <c r="F115" s="195"/>
      <c r="G115" s="37" t="str">
        <f>VLOOKUP($A115,Questions!$A$2:$X$333,21,0)&amp;""</f>
        <v>Yes</v>
      </c>
      <c r="H115" s="192"/>
      <c r="I115" s="52" t="str">
        <f>VLOOKUP($A115,Questions!$A$2:$X$333,23,0)&amp;""</f>
        <v>Critical Importance</v>
      </c>
      <c r="J115" s="192"/>
      <c r="K115" s="55" t="b">
        <v>0</v>
      </c>
      <c r="L115" s="1"/>
    </row>
    <row r="116" spans="1:12" s="36" customFormat="1" ht="48" customHeight="1" x14ac:dyDescent="0.25">
      <c r="A116" s="25" t="s">
        <v>810</v>
      </c>
      <c r="B116" s="24" t="str">
        <f>VLOOKUP($A116,Questions!$A$2:$X$333,2,0)</f>
        <v>Will institutional data be processed through a third party or subprocessor that also uses AI?</v>
      </c>
      <c r="C116" s="52" t="str">
        <f>VLOOKUP($A116,Privacy!$A$13:$E$97,3,0)&amp;""</f>
        <v/>
      </c>
      <c r="D116" s="41" t="str">
        <f>IF(LEFT(VLOOKUP($A116,Privacy!$A$13:$E$97,5,0),21)='Auto Responses'!$A$73,'Auto Responses'!$A$74,VLOOKUP($A116,Privacy!$A$13:$E$97,4,0))&amp;""</f>
        <v>Not applicable.</v>
      </c>
      <c r="E116" s="351" t="str">
        <f>VLOOKUP($A116,Privacy!$A$13:$E$97,5,0)&amp;""</f>
        <v>Based on the response to REQU-04 on the "START HERE" tab, this question does not apply to this product or service.</v>
      </c>
      <c r="F116" s="195"/>
      <c r="G116" s="37" t="str">
        <f>VLOOKUP($A116,Questions!$A$2:$X$333,21,0)&amp;""</f>
        <v>No</v>
      </c>
      <c r="H116" s="192"/>
      <c r="I116" s="52" t="str">
        <f>VLOOKUP($A116,Questions!$A$2:$X$333,23,0)&amp;""</f>
        <v>Standard Importance</v>
      </c>
      <c r="J116" s="192"/>
      <c r="K116" s="55" t="b">
        <v>0</v>
      </c>
      <c r="L116" s="1"/>
    </row>
    <row r="117" spans="1:12" s="36" customFormat="1" ht="48" customHeight="1" x14ac:dyDescent="0.25">
      <c r="A117" s="25" t="s">
        <v>811</v>
      </c>
      <c r="B117" s="24" t="str">
        <f>VLOOKUP($A117,Questions!$A$2:$X$333,2,0)</f>
        <v>Is AI processing limited to fully licensed commercial enterprise AI services?</v>
      </c>
      <c r="C117" s="52" t="str">
        <f>VLOOKUP($A117,Privacy!$A$13:$E$97,3,0)&amp;""</f>
        <v/>
      </c>
      <c r="D117" s="41" t="str">
        <f>IF(LEFT(VLOOKUP($A117,Privacy!$A$13:$E$97,5,0),21)='Auto Responses'!$A$73,'Auto Responses'!$A$74,VLOOKUP($A117,Privacy!$A$13:$E$97,4,0))&amp;""</f>
        <v>Not applicable.</v>
      </c>
      <c r="E117" s="351" t="str">
        <f>VLOOKUP($A117,Privacy!$A$13:$E$97,5,0)&amp;""</f>
        <v>Based on the response to REQU-04 on the "START HERE" tab, this question does not apply to this product or service.</v>
      </c>
      <c r="F117" s="195"/>
      <c r="G117" s="37" t="str">
        <f>VLOOKUP($A117,Questions!$A$2:$X$333,21,0)&amp;""</f>
        <v>Yes</v>
      </c>
      <c r="H117" s="192"/>
      <c r="I117" s="52" t="str">
        <f>VLOOKUP($A117,Questions!$A$2:$X$333,23,0)&amp;""</f>
        <v>Minor Importance</v>
      </c>
      <c r="J117" s="192"/>
      <c r="K117" s="55" t="b">
        <v>0</v>
      </c>
      <c r="L117" s="1"/>
    </row>
    <row r="118" spans="1:12" s="36" customFormat="1" ht="48" customHeight="1" x14ac:dyDescent="0.25">
      <c r="A118" s="25" t="s">
        <v>813</v>
      </c>
      <c r="B118" s="24" t="str">
        <f>VLOOKUP($A118,Questions!$A$2:$X$333,2,0)</f>
        <v>Will institutional data be used or processed by any shared AI services?</v>
      </c>
      <c r="C118" s="52" t="str">
        <f>VLOOKUP($A118,Privacy!$A$13:$E$97,3,0)&amp;""</f>
        <v/>
      </c>
      <c r="D118" s="41" t="str">
        <f>IF(LEFT(VLOOKUP($A118,Privacy!$A$13:$E$97,5,0),21)='Auto Responses'!$A$73,'Auto Responses'!$A$74,VLOOKUP($A118,Privacy!$A$13:$E$97,4,0))&amp;""</f>
        <v>Not applicable.</v>
      </c>
      <c r="E118" s="351" t="str">
        <f>VLOOKUP($A118,Privacy!$A$13:$E$97,5,0)&amp;""</f>
        <v>Based on the response to REQU-04 on the "START HERE" tab, this question does not apply to this product or service.</v>
      </c>
      <c r="F118" s="195"/>
      <c r="G118" s="37" t="str">
        <f>VLOOKUP($A118,Questions!$A$2:$X$333,21,0)&amp;""</f>
        <v>No</v>
      </c>
      <c r="H118" s="192"/>
      <c r="I118" s="52" t="str">
        <f>VLOOKUP($A118,Questions!$A$2:$X$333,23,0)&amp;""</f>
        <v>Minor Importance</v>
      </c>
      <c r="J118" s="192"/>
      <c r="K118" s="55" t="b">
        <v>0</v>
      </c>
      <c r="L118" s="1"/>
    </row>
    <row r="119" spans="1:12" s="36" customFormat="1" ht="48" customHeight="1" x14ac:dyDescent="0.25">
      <c r="A119" s="25" t="s">
        <v>814</v>
      </c>
      <c r="B119" s="24" t="str">
        <f>VLOOKUP($A119,Questions!$A$2:$X$333,2,0)</f>
        <v>Do you have safeguards in place to protect institutional data and data privacy from unintended AI queries or processing?</v>
      </c>
      <c r="C119" s="52" t="str">
        <f>VLOOKUP($A119,Privacy!$A$13:$E$97,3,0)&amp;""</f>
        <v/>
      </c>
      <c r="D119" s="41" t="str">
        <f>IF(LEFT(VLOOKUP($A119,Privacy!$A$13:$E$97,5,0),21)='Auto Responses'!$A$73,'Auto Responses'!$A$74,VLOOKUP($A119,Privacy!$A$13:$E$97,4,0))&amp;""</f>
        <v>Not applicable.</v>
      </c>
      <c r="E119" s="351" t="str">
        <f>VLOOKUP($A119,Privacy!$A$13:$E$97,5,0)&amp;""</f>
        <v>Based on the response to REQU-04 on the "START HERE" tab, this question does not apply to this product or service.</v>
      </c>
      <c r="F119" s="195"/>
      <c r="G119" s="37" t="str">
        <f>VLOOKUP($A119,Questions!$A$2:$X$333,21,0)&amp;""</f>
        <v>Yes</v>
      </c>
      <c r="H119" s="192"/>
      <c r="I119" s="52" t="str">
        <f>VLOOKUP($A119,Questions!$A$2:$X$333,23,0)&amp;""</f>
        <v>Minor Importance</v>
      </c>
      <c r="J119" s="192"/>
      <c r="K119" s="55" t="b">
        <v>0</v>
      </c>
      <c r="L119" s="1"/>
    </row>
    <row r="120" spans="1:12" s="36" customFormat="1" ht="48" customHeight="1" x14ac:dyDescent="0.25">
      <c r="A120" s="25" t="s">
        <v>815</v>
      </c>
      <c r="B120" s="24" t="str">
        <f>VLOOKUP($A120,Questions!$A$2:$X$333,2,0)</f>
        <v>Do you provide choice to the user to opt out of AI use?</v>
      </c>
      <c r="C120" s="52" t="str">
        <f>VLOOKUP($A120,Privacy!$A$13:$E$97,3,0)&amp;""</f>
        <v/>
      </c>
      <c r="D120" s="41" t="str">
        <f>IF(LEFT(VLOOKUP($A120,Privacy!$A$13:$E$97,5,0),21)='Auto Responses'!$A$73,'Auto Responses'!$A$74,VLOOKUP($A120,Privacy!$A$13:$E$97,4,0))&amp;""</f>
        <v>Not applicable.</v>
      </c>
      <c r="E120" s="351" t="str">
        <f>VLOOKUP($A120,Privacy!$A$13:$E$97,5,0)&amp;""</f>
        <v>Based on the response to REQU-04 on the "START HERE" tab, this question does not apply to this product or service.</v>
      </c>
      <c r="F120" s="195"/>
      <c r="G120" s="37" t="str">
        <f>VLOOKUP($A120,Questions!$A$2:$X$333,21,0)&amp;""</f>
        <v>Yes</v>
      </c>
      <c r="H120" s="192"/>
      <c r="I120" s="52" t="str">
        <f>VLOOKUP($A120,Questions!$A$2:$X$333,23,0)&amp;""</f>
        <v>Minor Importance</v>
      </c>
      <c r="J120" s="192"/>
      <c r="K120" s="55" t="b">
        <v>0</v>
      </c>
      <c r="L120" s="1"/>
    </row>
    <row r="121" spans="1:12" ht="15" customHeight="1" x14ac:dyDescent="0.3"/>
    <row r="122" spans="1:12" ht="15" customHeight="1" x14ac:dyDescent="0.3"/>
    <row r="123" spans="1:12" s="1" customFormat="1" ht="37.4" customHeight="1" thickBot="1" x14ac:dyDescent="0.3">
      <c r="A123" s="225" t="s">
        <v>1594</v>
      </c>
      <c r="B123" s="226"/>
      <c r="C123" s="227"/>
      <c r="D123" s="227"/>
      <c r="E123" s="227"/>
      <c r="F123" s="228"/>
      <c r="G123" s="227"/>
      <c r="H123" s="227"/>
      <c r="I123" s="227"/>
      <c r="J123" s="227"/>
      <c r="K123" s="227"/>
    </row>
    <row r="124" spans="1:12" s="36" customFormat="1" ht="48" customHeight="1" thickBot="1" x14ac:dyDescent="0.3">
      <c r="A124" s="33" t="s">
        <v>907</v>
      </c>
      <c r="B124" s="34" t="s">
        <v>1</v>
      </c>
      <c r="C124" s="34" t="s">
        <v>908</v>
      </c>
      <c r="D124" s="35" t="s">
        <v>72</v>
      </c>
      <c r="E124" s="34" t="s">
        <v>904</v>
      </c>
      <c r="F124" s="194" t="s">
        <v>905</v>
      </c>
      <c r="G124" s="53" t="s">
        <v>925</v>
      </c>
      <c r="H124" s="50" t="s">
        <v>927</v>
      </c>
      <c r="I124" s="50" t="s">
        <v>19</v>
      </c>
      <c r="J124" s="51" t="s">
        <v>912</v>
      </c>
      <c r="K124" s="54" t="s">
        <v>923</v>
      </c>
      <c r="L124" s="1"/>
    </row>
    <row r="125" spans="1:12" s="1" customFormat="1" ht="17.5" x14ac:dyDescent="0.25">
      <c r="A125" s="70" t="str">
        <f>VLOOKUP(LEFT($A126,4),'Auto Responses'!$N$4:$O$38,2,0)&amp;""</f>
        <v xml:space="preserve"> Company Information</v>
      </c>
      <c r="B125" s="29"/>
      <c r="C125" s="38"/>
      <c r="D125" s="38"/>
      <c r="E125" s="38"/>
      <c r="F125" s="139" t="s">
        <v>1089</v>
      </c>
      <c r="G125" s="38"/>
      <c r="H125" s="38"/>
      <c r="I125" s="38"/>
      <c r="J125" s="38"/>
      <c r="K125" s="38"/>
    </row>
    <row r="126" spans="1:12" s="36" customFormat="1" ht="409.5" x14ac:dyDescent="0.3">
      <c r="A126" s="25" t="s">
        <v>35</v>
      </c>
      <c r="B126" s="24" t="str">
        <f>VLOOKUP($A126,Questions!$A$2:$X$333,2,0)</f>
        <v>Do you have a dedicated software and system development team(s) (e.g., customer support, implementation, product management, etc.)?*</v>
      </c>
      <c r="C126" s="52" t="str">
        <f>VLOOKUP($A126,'Institution Evaluation'!$A$56:$K$346,3,0)&amp;""</f>
        <v>Yes</v>
      </c>
      <c r="D126" s="52" t="str">
        <f>VLOOKUP($A126,'Institution Evaluation'!$A$56:$K$346,4,0)&amp;""</f>
        <v>Cirrus Identity is a relatively small team of IT professionals, each with a background in delivering secure information systems. Our team operates as an integrated whole using both agile and devops methods to deliver our services. While team members have areas of responsibility, there is currently not enough specialization to require focused teams. The areas of responsibility are as follows: Software development: 3 full-time engineers. We also have two long-term contract engineers that assist with R&amp;D and new feature development as appropriate. Systems engineering: 2 full-time engineers. Customer support and Product: 3 full-time positions dedicated to Product and Customer Success. The CEO and Dir of Sales and Marketing also contribute to product management.</v>
      </c>
      <c r="E126" s="351" t="str">
        <f>VLOOKUP($A126,'Institution Evaluation'!$A$56:$K$346,5,0)&amp;""</f>
        <v>Describe the structure and size of your software and system development teams. (e.g., customer support, implementation, product management, etc.).</v>
      </c>
      <c r="F126" s="195" t="str">
        <f>VLOOKUP($A126,'Institution Evaluation'!$A$56:$K$346,6,0)&amp;""</f>
        <v/>
      </c>
      <c r="G126" s="37" t="str">
        <f>VLOOKUP($A126,'Institution Evaluation'!$A$56:$K$346,7,0)&amp;""</f>
        <v>Yes</v>
      </c>
      <c r="H126" s="192" t="str">
        <f>VLOOKUP($A126,'Institution Evaluation'!$A$56:$K$346,8,0)&amp;""</f>
        <v/>
      </c>
      <c r="I126" s="52" t="str">
        <f>VLOOKUP($A126,'Institution Evaluation'!$A$56:$K$346,9,0)&amp;""</f>
        <v>Critical Importance</v>
      </c>
      <c r="J126" s="193" t="str">
        <f>VLOOKUP($A126,'Institution Evaluation'!$A$56:$K$346,10,0)&amp;""</f>
        <v/>
      </c>
      <c r="K126" s="55" t="str">
        <f>IF(VLOOKUP($A126,'Institution Evaluation'!$A$56:$K$346,10,0)=TRUE,"Yes","")</f>
        <v/>
      </c>
      <c r="L126" s="55" t="str">
        <f>IF(VLOOKUP($A126,'Institution Evaluation'!$A$56:$K$346,10,0)=TRUE,"Yes","")</f>
        <v/>
      </c>
    </row>
    <row r="127" spans="1:12" ht="315" x14ac:dyDescent="0.3">
      <c r="A127" s="25" t="s">
        <v>42</v>
      </c>
      <c r="B127" s="24" t="str">
        <f>VLOOKUP($A127,Questions!$A$2:$X$333,2,0)</f>
        <v>Describe your organization’s business background and ownership structure, including all parent and subsidiary relationships.</v>
      </c>
      <c r="C127" s="52" t="str">
        <f>VLOOKUP($A127,'Institution Evaluation'!$A$56:$K$346,3,0)&amp;""</f>
        <v>Cirrus Identity was founded in January 2013 as a Delaware C Corporation. Cirrus Identity is privately held, with the majority of shareholders being employees of the company. Cirrus Identity's prior investors include Merian Ventures, 500 Startups, and Golden Seeds, who together own approximately 7% of the company. Cirrus Identity does not own any subsidiary companies, nor is it owned by any parent organizations.</v>
      </c>
      <c r="D127" s="52" t="str">
        <f>VLOOKUP($A127,'Institution Evaluation'!$A$56:$K$346,4,0)&amp;""</f>
        <v/>
      </c>
      <c r="E127" s="351" t="str">
        <f>VLOOKUP($A127,'Institution Evaluation'!$A$56:$K$346,5,0)&amp;""</f>
        <v>Include circumstances that may involve offshoring or multinational agreements.</v>
      </c>
      <c r="F127" s="195" t="str">
        <f>VLOOKUP($A127,'Institution Evaluation'!$A$56:$K$346,6,0)&amp;""</f>
        <v/>
      </c>
      <c r="G127" s="37" t="str">
        <f>VLOOKUP($A127,'Institution Evaluation'!$A$56:$K$346,7,0)&amp;""</f>
        <v>Not scored</v>
      </c>
      <c r="H127" s="192" t="str">
        <f>VLOOKUP($A127,'Institution Evaluation'!$A$56:$K$346,8,0)&amp;""</f>
        <v/>
      </c>
      <c r="I127" s="52" t="str">
        <f>VLOOKUP($A127,'Institution Evaluation'!$A$56:$K$346,9,0)&amp;""</f>
        <v>Minor Importance</v>
      </c>
      <c r="J127" s="193" t="str">
        <f>VLOOKUP($A127,'Institution Evaluation'!$A$56:$K$346,10,0)&amp;""</f>
        <v/>
      </c>
      <c r="K127" s="55" t="str">
        <f>IF(VLOOKUP($A127,'Institution Evaluation'!$A$56:$K$346,10,0)=TRUE,"Yes","")</f>
        <v/>
      </c>
    </row>
    <row r="128" spans="1:12" ht="270" x14ac:dyDescent="0.3">
      <c r="A128" s="25" t="s">
        <v>44</v>
      </c>
      <c r="B128" s="24" t="str">
        <f>VLOOKUP($A128,Questions!$A$2:$X$333,2,0)</f>
        <v>Have you operated without unplanned disruptions to this solution in the past 12 months?</v>
      </c>
      <c r="C128" s="52" t="str">
        <f>VLOOKUP($A128,'Institution Evaluation'!$A$56:$K$346,3,0)&amp;""</f>
        <v>No</v>
      </c>
      <c r="D128" s="52" t="str">
        <f>VLOOKUP($A128,'Institution Evaluation'!$A$56:$K$346,4,0)&amp;""</f>
        <v xml:space="preserve">From 2024-04-30 to 2025-05-01, there were two unplanned disruptions impacting general service availability (not related to implementation details of a specific customer). One impacted customers of the Cirrus Identity OrgBrandedID for a period of 34 minutes, and the other impacted customers of Cirrus Identity Invitation Service for a period of 2 hours. </v>
      </c>
      <c r="E128" s="351" t="str">
        <f>VLOOKUP($A128,'Institution Evaluation'!$A$56:$K$346,5,0)&amp;""</f>
        <v>Provide a detailed summary of the unplanned disruption.</v>
      </c>
      <c r="F128" s="195" t="str">
        <f>VLOOKUP($A128,'Institution Evaluation'!$A$56:$K$346,6,0)&amp;""</f>
        <v/>
      </c>
      <c r="G128" s="37" t="str">
        <f>VLOOKUP($A128,'Institution Evaluation'!$A$56:$K$346,7,0)&amp;""</f>
        <v>Yes</v>
      </c>
      <c r="H128" s="192" t="str">
        <f>VLOOKUP($A128,'Institution Evaluation'!$A$56:$K$346,8,0)&amp;""</f>
        <v/>
      </c>
      <c r="I128" s="52" t="str">
        <f>VLOOKUP($A128,'Institution Evaluation'!$A$56:$K$346,9,0)&amp;""</f>
        <v>Minor Importance</v>
      </c>
      <c r="J128" s="193" t="str">
        <f>VLOOKUP($A128,'Institution Evaluation'!$A$56:$K$346,10,0)&amp;""</f>
        <v/>
      </c>
      <c r="K128" s="55" t="str">
        <f>IF(VLOOKUP($A128,'Institution Evaluation'!$A$56:$K$346,10,0)=TRUE,"Yes","")</f>
        <v/>
      </c>
    </row>
    <row r="129" spans="1:11" ht="409.5" x14ac:dyDescent="0.3">
      <c r="A129" s="25" t="s">
        <v>45</v>
      </c>
      <c r="B129" s="24" t="str">
        <f>VLOOKUP($A129,Questions!$A$2:$X$333,2,0)</f>
        <v>Do you have a dedicated information security staff or office?</v>
      </c>
      <c r="C129" s="52" t="str">
        <f>VLOOKUP($A129,'Institution Evaluation'!$A$56:$K$346,3,0)&amp;""</f>
        <v>Yes</v>
      </c>
      <c r="D129" s="52" t="str">
        <f>VLOOKUP($A129,'Institution Evaluation'!$A$56:$K$346,4,0)&amp;""</f>
        <v xml:space="preserve">Mark Rank, Director of Compliance and Strategic Insights, leads the compliance program. Patrick Radtke, CTO, is responsible for system infrastructure compliance. Mary McKee, VP of Engineering, is responsible for engineering, change control, and access compliance. Kristina Deaton, VP of Customer Success, is responsible for incident response. These individuals together with the CEO and Director of Marketing and Sales also form the Cirrus Leadership Team which provides leadership and oversight of the Cirrus Identity compliance program.   </v>
      </c>
      <c r="E129" s="351" t="str">
        <f>VLOOKUP($A129,'Institution Evaluation'!$A$56:$K$346,5,0)&amp;""</f>
        <v>Describe your information security office, including size, talents, resources, etc.</v>
      </c>
      <c r="F129" s="195" t="str">
        <f>VLOOKUP($A129,'Institution Evaluation'!$A$56:$K$346,6,0)&amp;""</f>
        <v/>
      </c>
      <c r="G129" s="37" t="str">
        <f>VLOOKUP($A129,'Institution Evaluation'!$A$56:$K$346,7,0)&amp;""</f>
        <v>Yes</v>
      </c>
      <c r="H129" s="192" t="str">
        <f>VLOOKUP($A129,'Institution Evaluation'!$A$56:$K$346,8,0)&amp;""</f>
        <v/>
      </c>
      <c r="I129" s="52" t="str">
        <f>VLOOKUP($A129,'Institution Evaluation'!$A$56:$K$346,9,0)&amp;""</f>
        <v>Minor Importance</v>
      </c>
      <c r="J129" s="193" t="str">
        <f>VLOOKUP($A129,'Institution Evaluation'!$A$56:$K$346,10,0)&amp;""</f>
        <v/>
      </c>
      <c r="K129" s="55" t="str">
        <f>IF(VLOOKUP($A129,'Institution Evaluation'!$A$56:$K$346,10,0)=TRUE,"Yes","")</f>
        <v/>
      </c>
    </row>
    <row r="130" spans="1:11" s="1" customFormat="1" ht="17.5" x14ac:dyDescent="0.25">
      <c r="A130" s="70" t="str">
        <f>VLOOKUP(LEFT($A131,4),'Auto Responses'!$N$4:$O$38,2,0)&amp;""</f>
        <v xml:space="preserve"> Required Questions</v>
      </c>
      <c r="B130" s="29"/>
      <c r="C130" s="38"/>
      <c r="D130" s="38"/>
      <c r="E130" s="352"/>
      <c r="F130" s="139" t="s">
        <v>1089</v>
      </c>
      <c r="G130" s="359" t="s">
        <v>925</v>
      </c>
      <c r="H130" s="359" t="s">
        <v>927</v>
      </c>
      <c r="I130" s="359" t="s">
        <v>19</v>
      </c>
      <c r="J130" s="359" t="s">
        <v>912</v>
      </c>
      <c r="K130" s="38"/>
    </row>
    <row r="131" spans="1:11" ht="45" x14ac:dyDescent="0.3">
      <c r="A131" s="25" t="s">
        <v>58</v>
      </c>
      <c r="B131" s="24" t="str">
        <f>VLOOKUP($A131,Questions!$A$2:$X$333,2,0)</f>
        <v>Does your solution have AI features, or are there plans to implement AI features in the next 12 months?</v>
      </c>
      <c r="C131" s="52" t="str">
        <f>VLOOKUP($A131,'Institution Evaluation'!$A$56:$K$346,3,0)&amp;""</f>
        <v>No</v>
      </c>
      <c r="D131" s="52" t="str">
        <f>VLOOKUP($A131,'Institution Evaluation'!$A$56:$K$346,4,0)&amp;""</f>
        <v/>
      </c>
      <c r="E131" s="351" t="str">
        <f>VLOOKUP($A131,'Institution Evaluation'!$A$56:$K$346,5,0)&amp;""</f>
        <v>DO NOT complete the Artificial Intelligence (AI) worksheet</v>
      </c>
      <c r="F131" s="195" t="str">
        <f>VLOOKUP($A131,'Institution Evaluation'!$A$56:$K$346,6,0)&amp;""</f>
        <v/>
      </c>
      <c r="G131" s="37" t="str">
        <f>VLOOKUP($A131,'Institution Evaluation'!$A$56:$K$346,7,0)&amp;""</f>
        <v>Not scored</v>
      </c>
      <c r="H131" s="192" t="str">
        <f>VLOOKUP($A131,'Institution Evaluation'!$A$56:$K$346,8,0)&amp;""</f>
        <v/>
      </c>
      <c r="I131" s="52" t="str">
        <f>VLOOKUP($A131,'Institution Evaluation'!$A$56:$K$346,9,0)&amp;""</f>
        <v/>
      </c>
      <c r="J131" s="193" t="str">
        <f>VLOOKUP($A131,'Institution Evaluation'!$A$56:$K$346,10,0)&amp;""</f>
        <v/>
      </c>
      <c r="K131" s="55" t="str">
        <f>IF(VLOOKUP($A131,'Institution Evaluation'!$A$56:$K$346,10,0)=TRUE,"Yes","")</f>
        <v/>
      </c>
    </row>
    <row r="132" spans="1:11" ht="90" x14ac:dyDescent="0.3">
      <c r="A132" s="25" t="s">
        <v>61</v>
      </c>
      <c r="B132" s="24" t="str">
        <f>VLOOKUP($A132,Questions!$A$2:$X$333,2,0)</f>
        <v>Does your solution process protected health information (PHI) or any data covered by the Health Insurance Portability and Accountability Act (HIPAA)?</v>
      </c>
      <c r="C132" s="52" t="str">
        <f>VLOOKUP($A132,'Institution Evaluation'!$A$56:$K$346,3,0)&amp;""</f>
        <v>No</v>
      </c>
      <c r="D132" s="52" t="str">
        <f>VLOOKUP($A132,'Institution Evaluation'!$A$56:$K$346,4,0)&amp;""</f>
        <v>The Cirrus Identity standard subscription does not cover access control for protected health information (PHI).</v>
      </c>
      <c r="E132" s="351" t="str">
        <f>VLOOKUP($A132,'Institution Evaluation'!$A$56:$K$346,5,0)&amp;""</f>
        <v>DO NOT complete the HIPAA section in the Case-Specific worksheet</v>
      </c>
      <c r="F132" s="195" t="str">
        <f>VLOOKUP($A132,'Institution Evaluation'!$A$56:$K$346,6,0)&amp;""</f>
        <v/>
      </c>
      <c r="G132" s="37" t="str">
        <f>VLOOKUP($A132,'Institution Evaluation'!$A$56:$K$346,7,0)&amp;""</f>
        <v>Not scored</v>
      </c>
      <c r="H132" s="192" t="str">
        <f>VLOOKUP($A132,'Institution Evaluation'!$A$56:$K$346,8,0)&amp;""</f>
        <v/>
      </c>
      <c r="I132" s="52" t="str">
        <f>VLOOKUP($A132,'Institution Evaluation'!$A$56:$K$346,9,0)&amp;""</f>
        <v/>
      </c>
      <c r="J132" s="193" t="str">
        <f>VLOOKUP($A132,'Institution Evaluation'!$A$56:$K$346,10,0)&amp;""</f>
        <v/>
      </c>
      <c r="K132" s="55" t="str">
        <f>IF(VLOOKUP($A132,'Institution Evaluation'!$A$56:$K$346,10,0)=TRUE,"Yes","")</f>
        <v/>
      </c>
    </row>
    <row r="133" spans="1:11" ht="90" x14ac:dyDescent="0.3">
      <c r="A133" s="25" t="s">
        <v>64</v>
      </c>
      <c r="B133" s="24" t="str">
        <f>VLOOKUP($A133,Questions!$A$2:$X$333,2,0)</f>
        <v>Is the solution designed to process, store, or transmit credit card information?</v>
      </c>
      <c r="C133" s="52" t="str">
        <f>VLOOKUP($A133,'Institution Evaluation'!$A$56:$K$346,3,0)&amp;""</f>
        <v>No</v>
      </c>
      <c r="D133" s="52" t="str">
        <f>VLOOKUP($A133,'Institution Evaluation'!$A$56:$K$346,4,0)&amp;""</f>
        <v>The Cirrus Identity standard subscription does not cover access control for data covered by the PCI-DSS standard.</v>
      </c>
      <c r="E133" s="351" t="str">
        <f>VLOOKUP($A133,'Institution Evaluation'!$A$56:$K$346,5,0)&amp;""</f>
        <v>DO NOT complete the PCI-DSS section in the Case-Specific worksheet</v>
      </c>
      <c r="F133" s="195" t="str">
        <f>VLOOKUP($A133,'Institution Evaluation'!$A$56:$K$346,6,0)&amp;""</f>
        <v/>
      </c>
      <c r="G133" s="37" t="str">
        <f>VLOOKUP($A133,'Institution Evaluation'!$A$56:$K$346,7,0)&amp;""</f>
        <v>Not scored</v>
      </c>
      <c r="H133" s="192" t="str">
        <f>VLOOKUP($A133,'Institution Evaluation'!$A$56:$K$346,8,0)&amp;""</f>
        <v/>
      </c>
      <c r="I133" s="52" t="str">
        <f>VLOOKUP($A133,'Institution Evaluation'!$A$56:$K$346,9,0)&amp;""</f>
        <v/>
      </c>
      <c r="J133" s="193" t="str">
        <f>VLOOKUP($A133,'Institution Evaluation'!$A$56:$K$346,10,0)&amp;""</f>
        <v/>
      </c>
      <c r="K133" s="55" t="str">
        <f>IF(VLOOKUP($A133,'Institution Evaluation'!$A$56:$K$346,10,0)=TRUE,"Yes","")</f>
        <v/>
      </c>
    </row>
    <row r="134" spans="1:11" ht="30" x14ac:dyDescent="0.3">
      <c r="A134" s="25" t="s">
        <v>1025</v>
      </c>
      <c r="B134" s="24" t="str">
        <f>VLOOKUP($A134,Questions!$A$2:$X$333,2,0)</f>
        <v>Does your solution have access to personal or institutional data?</v>
      </c>
      <c r="C134" s="52" t="str">
        <f>VLOOKUP($A134,'Institution Evaluation'!$A$56:$K$346,3,0)&amp;""</f>
        <v>Yes</v>
      </c>
      <c r="D134" s="52" t="str">
        <f>VLOOKUP($A134,'Institution Evaluation'!$A$56:$K$346,4,0)&amp;""</f>
        <v/>
      </c>
      <c r="E134" s="351" t="str">
        <f>VLOOKUP($A134,'Institution Evaluation'!$A$56:$K$346,5,0)&amp;""</f>
        <v>DO complete the Privacy tab</v>
      </c>
      <c r="F134" s="195" t="str">
        <f>VLOOKUP($A134,'Institution Evaluation'!$A$56:$K$346,6,0)&amp;""</f>
        <v/>
      </c>
      <c r="G134" s="37" t="str">
        <f>VLOOKUP($A134,'Institution Evaluation'!$A$56:$K$346,7,0)&amp;""</f>
        <v>Not scored</v>
      </c>
      <c r="H134" s="192" t="str">
        <f>VLOOKUP($A134,'Institution Evaluation'!$A$56:$K$346,8,0)&amp;""</f>
        <v/>
      </c>
      <c r="I134" s="52" t="str">
        <f>VLOOKUP($A134,'Institution Evaluation'!$A$56:$K$346,9,0)&amp;""</f>
        <v/>
      </c>
      <c r="J134" s="193" t="str">
        <f>VLOOKUP($A134,'Institution Evaluation'!$A$56:$K$346,10,0)&amp;""</f>
        <v/>
      </c>
      <c r="K134" s="55" t="str">
        <f>IF(VLOOKUP($A134,'Institution Evaluation'!$A$56:$K$346,10,0)=TRUE,"Yes","")</f>
        <v/>
      </c>
    </row>
    <row r="135" spans="1:11" s="1" customFormat="1" ht="17.5" x14ac:dyDescent="0.25">
      <c r="A135" s="70" t="str">
        <f>VLOOKUP(LEFT($A136,4),'Auto Responses'!$N$4:$O$38,2,0)&amp;""</f>
        <v xml:space="preserve"> Documentation</v>
      </c>
      <c r="B135" s="29"/>
      <c r="C135" s="38"/>
      <c r="D135" s="38"/>
      <c r="E135" s="352"/>
      <c r="F135" s="139" t="s">
        <v>1089</v>
      </c>
      <c r="G135" s="359" t="s">
        <v>925</v>
      </c>
      <c r="H135" s="359" t="s">
        <v>927</v>
      </c>
      <c r="I135" s="359" t="s">
        <v>19</v>
      </c>
      <c r="J135" s="359" t="s">
        <v>912</v>
      </c>
      <c r="K135" s="38"/>
    </row>
    <row r="136" spans="1:11" ht="40.5" x14ac:dyDescent="0.3">
      <c r="A136" s="25" t="s">
        <v>70</v>
      </c>
      <c r="B136" s="24" t="str">
        <f>VLOOKUP($A136,Questions!$A$2:$X$333,2,0)</f>
        <v>Do you have a well-documented business continuity plan (BCP), with a clear owner, that is tested annually?*</v>
      </c>
      <c r="C136" s="52" t="str">
        <f>VLOOKUP($A136,'Institution Evaluation'!$A$56:$K$346,3,0)&amp;""</f>
        <v>Yes</v>
      </c>
      <c r="D136" s="52" t="str">
        <f>VLOOKUP($A136,'Institution Evaluation'!$A$56:$K$346,4,0)&amp;""</f>
        <v/>
      </c>
      <c r="E136" s="351" t="str">
        <f>VLOOKUP($A136,'Institution Evaluation'!$A$56:$K$346,5,0)&amp;""</f>
        <v/>
      </c>
      <c r="F136" s="195" t="str">
        <f>VLOOKUP($A136,'Institution Evaluation'!$A$56:$K$346,6,0)&amp;""</f>
        <v/>
      </c>
      <c r="G136" s="37" t="str">
        <f>VLOOKUP($A136,'Institution Evaluation'!$A$56:$K$346,7,0)&amp;""</f>
        <v>Yes</v>
      </c>
      <c r="H136" s="192" t="str">
        <f>VLOOKUP($A136,'Institution Evaluation'!$A$56:$K$346,8,0)&amp;""</f>
        <v/>
      </c>
      <c r="I136" s="52" t="str">
        <f>VLOOKUP($A136,'Institution Evaluation'!$A$56:$K$346,9,0)&amp;""</f>
        <v>Critical Importance</v>
      </c>
      <c r="J136" s="193" t="str">
        <f>VLOOKUP($A136,'Institution Evaluation'!$A$56:$K$346,10,0)&amp;""</f>
        <v/>
      </c>
      <c r="K136" s="55" t="str">
        <f>IF(VLOOKUP($A136,'Institution Evaluation'!$A$56:$K$346,10,0)=TRUE,"Yes","")</f>
        <v/>
      </c>
    </row>
    <row r="137" spans="1:11" ht="195" x14ac:dyDescent="0.3">
      <c r="A137" s="25" t="s">
        <v>77</v>
      </c>
      <c r="B137" s="24" t="str">
        <f>VLOOKUP($A137,Questions!$A$2:$X$333,2,0)</f>
        <v>Have you undergone a SSAE 18/SOC 2 audit?</v>
      </c>
      <c r="C137" s="52" t="str">
        <f>VLOOKUP($A137,'Institution Evaluation'!$A$56:$K$346,3,0)&amp;""</f>
        <v>Yes</v>
      </c>
      <c r="D137" s="52" t="str">
        <f>VLOOKUP($A137,'Institution Evaluation'!$A$56:$K$346,4,0)&amp;""</f>
        <v>The 2024-2025 SOC2 Type2 report was completed 2025-02-14. Our hosting provider (AWS) was not a subject of the audit. The process to request a copy is available from https://www.cirrusidentity.com/resources/trust-and-compliance-center</v>
      </c>
      <c r="E137" s="351" t="str">
        <f>VLOOKUP($A137,'Institution Evaluation'!$A$56:$K$346,5,0)&amp;""</f>
        <v>Provide the date of assessment and include a SOC 2 Type 2 (preferred) or SOC 3 report. If you have a SOC 3 report, state how to obtain a copy. Indicate if your hosting provider was the subject of the audit.</v>
      </c>
      <c r="F137" s="195" t="str">
        <f>VLOOKUP($A137,'Institution Evaluation'!$A$56:$K$346,6,0)&amp;""</f>
        <v/>
      </c>
      <c r="G137" s="37" t="str">
        <f>VLOOKUP($A137,'Institution Evaluation'!$A$56:$K$346,7,0)&amp;""</f>
        <v>Yes</v>
      </c>
      <c r="H137" s="192" t="str">
        <f>VLOOKUP($A137,'Institution Evaluation'!$A$56:$K$346,8,0)&amp;""</f>
        <v/>
      </c>
      <c r="I137" s="52" t="str">
        <f>VLOOKUP($A137,'Institution Evaluation'!$A$56:$K$346,9,0)&amp;""</f>
        <v>Standard Importance</v>
      </c>
      <c r="J137" s="193" t="str">
        <f>VLOOKUP($A137,'Institution Evaluation'!$A$56:$K$346,10,0)&amp;""</f>
        <v/>
      </c>
      <c r="K137" s="55" t="str">
        <f>IF(VLOOKUP($A137,'Institution Evaluation'!$A$56:$K$346,10,0)=TRUE,"Yes","")</f>
        <v/>
      </c>
    </row>
    <row r="138" spans="1:11" ht="120" x14ac:dyDescent="0.3">
      <c r="A138" s="25" t="s">
        <v>80</v>
      </c>
      <c r="B138" s="24" t="str">
        <f>VLOOKUP($A138,Questions!$A$2:$X$333,2,0)</f>
        <v>Do you conform with a specific industry standard security framework (e.g., NIST Cybersecurity Framework, CIS Controls, ISO 27001, etc.)?</v>
      </c>
      <c r="C138" s="52" t="str">
        <f>VLOOKUP($A138,'Institution Evaluation'!$A$56:$K$346,3,0)&amp;""</f>
        <v>Yes</v>
      </c>
      <c r="D138" s="52" t="str">
        <f>VLOOKUP($A138,'Institution Evaluation'!$A$56:$K$346,4,0)&amp;""</f>
        <v>Cirrus identity uses the CIS Controls augmented with NIST SP 800-53 to guide our security program</v>
      </c>
      <c r="E138" s="351" t="str">
        <f>VLOOKUP($A138,'Institution Evaluation'!$A$56:$K$346,5,0)&amp;""</f>
        <v>Provide documentation on how your organization conforms to your chosen framework and indicate current certification levels, where appropriate.</v>
      </c>
      <c r="F138" s="195" t="str">
        <f>VLOOKUP($A138,'Institution Evaluation'!$A$56:$K$346,6,0)&amp;""</f>
        <v/>
      </c>
      <c r="G138" s="37" t="str">
        <f>VLOOKUP($A138,'Institution Evaluation'!$A$56:$K$346,7,0)&amp;""</f>
        <v>Yes</v>
      </c>
      <c r="H138" s="192" t="str">
        <f>VLOOKUP($A138,'Institution Evaluation'!$A$56:$K$346,8,0)&amp;""</f>
        <v/>
      </c>
      <c r="I138" s="52" t="str">
        <f>VLOOKUP($A138,'Institution Evaluation'!$A$56:$K$346,9,0)&amp;""</f>
        <v>Standard Importance</v>
      </c>
      <c r="J138" s="193" t="str">
        <f>VLOOKUP($A138,'Institution Evaluation'!$A$56:$K$346,10,0)&amp;""</f>
        <v/>
      </c>
      <c r="K138" s="55" t="str">
        <f>IF(VLOOKUP($A138,'Institution Evaluation'!$A$56:$K$346,10,0)=TRUE,"Yes","")</f>
        <v/>
      </c>
    </row>
    <row r="139" spans="1:11" ht="60" x14ac:dyDescent="0.3">
      <c r="A139" s="25" t="s">
        <v>84</v>
      </c>
      <c r="B139" s="24" t="str">
        <f>VLOOKUP($A139,Questions!$A$2:$X$333,2,0)</f>
        <v>Can you provide overall system and/or application architecture diagrams, including a full description of the data flow for all components of the system?</v>
      </c>
      <c r="C139" s="52" t="str">
        <f>VLOOKUP($A139,'Institution Evaluation'!$A$56:$K$346,3,0)&amp;""</f>
        <v>Yes</v>
      </c>
      <c r="D139" s="52" t="str">
        <f>VLOOKUP($A139,'Institution Evaluation'!$A$56:$K$346,4,0)&amp;""</f>
        <v>That information is available by requesting our latest SOC2 Type 2 report.</v>
      </c>
      <c r="E139" s="351" t="str">
        <f>VLOOKUP($A139,'Institution Evaluation'!$A$56:$K$346,5,0)&amp;""</f>
        <v>Provide your diagrams (or a valid link to it) upon submission.</v>
      </c>
      <c r="F139" s="195" t="str">
        <f>VLOOKUP($A139,'Institution Evaluation'!$A$56:$K$346,6,0)&amp;""</f>
        <v/>
      </c>
      <c r="G139" s="37" t="str">
        <f>VLOOKUP($A139,'Institution Evaluation'!$A$56:$K$346,7,0)&amp;""</f>
        <v>Yes</v>
      </c>
      <c r="H139" s="192" t="str">
        <f>VLOOKUP($A139,'Institution Evaluation'!$A$56:$K$346,8,0)&amp;""</f>
        <v/>
      </c>
      <c r="I139" s="52" t="str">
        <f>VLOOKUP($A139,'Institution Evaluation'!$A$56:$K$346,9,0)&amp;""</f>
        <v>Standard Importance</v>
      </c>
      <c r="J139" s="193" t="str">
        <f>VLOOKUP($A139,'Institution Evaluation'!$A$56:$K$346,10,0)&amp;""</f>
        <v/>
      </c>
      <c r="K139" s="55" t="str">
        <f>IF(VLOOKUP($A139,'Institution Evaluation'!$A$56:$K$346,10,0)=TRUE,"Yes","")</f>
        <v/>
      </c>
    </row>
    <row r="140" spans="1:11" ht="90" x14ac:dyDescent="0.3">
      <c r="A140" s="25" t="s">
        <v>88</v>
      </c>
      <c r="B140" s="24" t="str">
        <f>VLOOKUP($A140,Questions!$A$2:$X$333,2,0)</f>
        <v>Does your organization have a data privacy policy?</v>
      </c>
      <c r="C140" s="52" t="str">
        <f>VLOOKUP($A140,'Institution Evaluation'!$A$56:$K$346,3,0)&amp;""</f>
        <v>Yes</v>
      </c>
      <c r="D140" s="52" t="str">
        <f>VLOOKUP($A140,'Institution Evaluation'!$A$56:$K$346,4,0)&amp;""</f>
        <v>The current privacy policy is available from https://www.cirrusidentity.com/resources/trust-and-compliance-center</v>
      </c>
      <c r="E140" s="351" t="str">
        <f>VLOOKUP($A140,'Institution Evaluation'!$A$56:$K$346,5,0)&amp;""</f>
        <v>Provide your data privacy document (or a valid link to it) upon submission.</v>
      </c>
      <c r="F140" s="195" t="str">
        <f>VLOOKUP($A140,'Institution Evaluation'!$A$56:$K$346,6,0)&amp;""</f>
        <v/>
      </c>
      <c r="G140" s="37" t="str">
        <f>VLOOKUP($A140,'Institution Evaluation'!$A$56:$K$346,7,0)&amp;""</f>
        <v>Yes</v>
      </c>
      <c r="H140" s="192" t="str">
        <f>VLOOKUP($A140,'Institution Evaluation'!$A$56:$K$346,8,0)&amp;""</f>
        <v/>
      </c>
      <c r="I140" s="52" t="str">
        <f>VLOOKUP($A140,'Institution Evaluation'!$A$56:$K$346,9,0)&amp;""</f>
        <v>Standard Importance</v>
      </c>
      <c r="J140" s="193" t="str">
        <f>VLOOKUP($A140,'Institution Evaluation'!$A$56:$K$346,10,0)&amp;""</f>
        <v/>
      </c>
      <c r="K140" s="55" t="str">
        <f>IF(VLOOKUP($A140,'Institution Evaluation'!$A$56:$K$346,10,0)=TRUE,"Yes","")</f>
        <v/>
      </c>
    </row>
    <row r="141" spans="1:11" ht="135" x14ac:dyDescent="0.3">
      <c r="A141" s="25" t="s">
        <v>92</v>
      </c>
      <c r="B141" s="24" t="str">
        <f>VLOOKUP($A141,Questions!$A$2:$X$333,2,0)</f>
        <v>Do you have a documented, and currently implemented, employee onboarding and offboarding policy?</v>
      </c>
      <c r="C141" s="52" t="str">
        <f>VLOOKUP($A141,'Institution Evaluation'!$A$56:$K$346,3,0)&amp;""</f>
        <v>Yes</v>
      </c>
      <c r="D141" s="52" t="str">
        <f>VLOOKUP($A141,'Institution Evaluation'!$A$56:$K$346,4,0)&amp;""</f>
        <v>The Cirrus Identity Human Resource Security Policy and associated standard operating procedures are available upon request.</v>
      </c>
      <c r="E141" s="351" t="str">
        <f>VLOOKUP($A141,'Institution Evaluation'!$A$56:$K$346,5,0)&amp;""</f>
        <v>Provide a reference to your employee onboarding and offboarding policy and supporting documentation or submit it along with this fully populated HECVAT.</v>
      </c>
      <c r="F141" s="195" t="str">
        <f>VLOOKUP($A141,'Institution Evaluation'!$A$56:$K$346,6,0)&amp;""</f>
        <v/>
      </c>
      <c r="G141" s="37" t="str">
        <f>VLOOKUP($A141,'Institution Evaluation'!$A$56:$K$346,7,0)&amp;""</f>
        <v>Yes</v>
      </c>
      <c r="H141" s="192" t="str">
        <f>VLOOKUP($A141,'Institution Evaluation'!$A$56:$K$346,8,0)&amp;""</f>
        <v/>
      </c>
      <c r="I141" s="52" t="str">
        <f>VLOOKUP($A141,'Institution Evaluation'!$A$56:$K$346,9,0)&amp;""</f>
        <v>Standard Importance</v>
      </c>
      <c r="J141" s="193" t="str">
        <f>VLOOKUP($A141,'Institution Evaluation'!$A$56:$K$346,10,0)&amp;""</f>
        <v/>
      </c>
      <c r="K141" s="55" t="str">
        <f>IF(VLOOKUP($A141,'Institution Evaluation'!$A$56:$K$346,10,0)=TRUE,"Yes","")</f>
        <v/>
      </c>
    </row>
    <row r="142" spans="1:11" s="1" customFormat="1" ht="17.5" x14ac:dyDescent="0.25">
      <c r="A142" s="70" t="str">
        <f>VLOOKUP(LEFT($A143,4),'Auto Responses'!$N$4:$O$38,2,0)&amp;""</f>
        <v xml:space="preserve"> IT Accessibility</v>
      </c>
      <c r="B142" s="29"/>
      <c r="C142" s="38"/>
      <c r="D142" s="38"/>
      <c r="E142" s="352"/>
      <c r="F142" s="139" t="s">
        <v>1089</v>
      </c>
      <c r="G142" s="359" t="s">
        <v>925</v>
      </c>
      <c r="H142" s="359" t="s">
        <v>927</v>
      </c>
      <c r="I142" s="359" t="s">
        <v>19</v>
      </c>
      <c r="J142" s="359" t="s">
        <v>912</v>
      </c>
      <c r="K142" s="38"/>
    </row>
    <row r="143" spans="1:11" ht="60" x14ac:dyDescent="0.3">
      <c r="A143" s="25" t="s">
        <v>97</v>
      </c>
      <c r="B143" s="24" t="str">
        <f>VLOOKUP($A143,Questions!$A$2:$X$333,2,0)</f>
        <v>Web Link to Accessibility Statement or VPAT</v>
      </c>
      <c r="C143" s="52" t="str">
        <f>VLOOKUP($A143,'Institution Evaluation'!$A$56:$K$346,3,0)&amp;""</f>
        <v>https://www.cirrusidentity.com/resources/trust-and-compliance-center</v>
      </c>
      <c r="D143" s="52" t="str">
        <f>VLOOKUP($A143,'Institution Evaluation'!$A$56:$K$346,4,0)&amp;""</f>
        <v/>
      </c>
      <c r="E143" s="351" t="str">
        <f>VLOOKUP($A143,'Institution Evaluation'!$A$56:$K$346,5,0)&amp;""</f>
        <v>VPAT can also be added as an attachment</v>
      </c>
      <c r="F143" s="195" t="str">
        <f>VLOOKUP($A143,'Institution Evaluation'!$A$56:$K$346,6,0)&amp;""</f>
        <v/>
      </c>
      <c r="G143" s="37" t="str">
        <f>VLOOKUP($A143,'Institution Evaluation'!$A$56:$K$346,7,0)&amp;""</f>
        <v>Not scored</v>
      </c>
      <c r="H143" s="192" t="str">
        <f>VLOOKUP($A143,'Institution Evaluation'!$A$56:$K$346,8,0)&amp;""</f>
        <v/>
      </c>
      <c r="I143" s="52" t="str">
        <f>VLOOKUP($A143,'Institution Evaluation'!$A$56:$K$346,9,0)&amp;""</f>
        <v>Standard Importance</v>
      </c>
      <c r="J143" s="193" t="str">
        <f>VLOOKUP($A143,'Institution Evaluation'!$A$56:$K$346,10,0)&amp;""</f>
        <v/>
      </c>
      <c r="K143" s="55" t="str">
        <f>IF(VLOOKUP($A143,'Institution Evaluation'!$A$56:$K$346,10,0)=TRUE,"Yes","")</f>
        <v/>
      </c>
    </row>
    <row r="144" spans="1:11" ht="40.5" x14ac:dyDescent="0.3">
      <c r="A144" s="25" t="s">
        <v>103</v>
      </c>
      <c r="B144" s="24" t="str">
        <f>VLOOKUP($A144,Questions!$A$2:$X$333,2,0)</f>
        <v>Will your company agree to meet your stated accessibility standard or WCAG 2.1 AA as part of your contractual agreement for the solution?*</v>
      </c>
      <c r="C144" s="52" t="str">
        <f>VLOOKUP($A144,'Institution Evaluation'!$A$56:$K$346,3,0)&amp;""</f>
        <v>Yes</v>
      </c>
      <c r="D144" s="52" t="str">
        <f>VLOOKUP($A144,'Institution Evaluation'!$A$56:$K$346,4,0)&amp;""</f>
        <v/>
      </c>
      <c r="E144" s="351" t="str">
        <f>VLOOKUP($A144,'Institution Evaluation'!$A$56:$K$346,5,0)&amp;""</f>
        <v/>
      </c>
      <c r="F144" s="195" t="str">
        <f>VLOOKUP($A144,'Institution Evaluation'!$A$56:$K$346,6,0)&amp;""</f>
        <v/>
      </c>
      <c r="G144" s="37" t="str">
        <f>VLOOKUP($A144,'Institution Evaluation'!$A$56:$K$346,7,0)&amp;""</f>
        <v>Yes</v>
      </c>
      <c r="H144" s="192" t="str">
        <f>VLOOKUP($A144,'Institution Evaluation'!$A$56:$K$346,8,0)&amp;""</f>
        <v/>
      </c>
      <c r="I144" s="52" t="str">
        <f>VLOOKUP($A144,'Institution Evaluation'!$A$56:$K$346,9,0)&amp;""</f>
        <v>Critical Importance</v>
      </c>
      <c r="J144" s="193" t="str">
        <f>VLOOKUP($A144,'Institution Evaluation'!$A$56:$K$346,10,0)&amp;""</f>
        <v/>
      </c>
      <c r="K144" s="55" t="str">
        <f>IF(VLOOKUP($A144,'Institution Evaluation'!$A$56:$K$346,10,0)=TRUE,"Yes","")</f>
        <v/>
      </c>
    </row>
    <row r="145" spans="1:11" s="1" customFormat="1" ht="17.5" x14ac:dyDescent="0.25">
      <c r="A145" s="70" t="str">
        <f>VLOOKUP(LEFT($A146,4),'Auto Responses'!$N$4:$O$38,2,0)&amp;""</f>
        <v xml:space="preserve"> Assessment of Third Parties</v>
      </c>
      <c r="B145" s="29"/>
      <c r="C145" s="38"/>
      <c r="D145" s="38"/>
      <c r="E145" s="352"/>
      <c r="F145" s="139" t="s">
        <v>1089</v>
      </c>
      <c r="G145" s="359" t="s">
        <v>925</v>
      </c>
      <c r="H145" s="359" t="s">
        <v>927</v>
      </c>
      <c r="I145" s="359" t="s">
        <v>19</v>
      </c>
      <c r="J145" s="359" t="s">
        <v>912</v>
      </c>
      <c r="K145" s="38"/>
    </row>
    <row r="146" spans="1:11" ht="135" x14ac:dyDescent="0.3">
      <c r="A146" s="25" t="s">
        <v>130</v>
      </c>
      <c r="B146" s="24" t="str">
        <f>VLOOKUP($A146,Questions!$A$2:$X$333,2,0)</f>
        <v>Do you perform security assessments of third-party companies with which you share data (e.g., hosting providers, cloud services, PaaS, IaaS, SaaS)?*</v>
      </c>
      <c r="C146" s="52" t="str">
        <f>VLOOKUP($A146,'Institution Evaluation'!$A$56:$K$346,3,0)&amp;""</f>
        <v>Yes</v>
      </c>
      <c r="D146" s="52" t="str">
        <f>VLOOKUP($A146,'Institution Evaluation'!$A$56:$K$346,4,0)&amp;""</f>
        <v>The Third-Party Management Policy and associated standard operating procedures are available upon request.</v>
      </c>
      <c r="E146" s="351" t="str">
        <f>VLOOKUP($A146,'Institution Evaluation'!$A$56:$K$346,5,0)&amp;""</f>
        <v>Provide a summary of your practices that assures that the third party will be subject to the appropriate standards regarding security, service recoverability, and confidentiality.</v>
      </c>
      <c r="F146" s="195" t="str">
        <f>VLOOKUP($A146,'Institution Evaluation'!$A$56:$K$346,6,0)&amp;""</f>
        <v/>
      </c>
      <c r="G146" s="37" t="str">
        <f>VLOOKUP($A146,'Institution Evaluation'!$A$56:$K$346,7,0)&amp;""</f>
        <v>Yes</v>
      </c>
      <c r="H146" s="192" t="str">
        <f>VLOOKUP($A146,'Institution Evaluation'!$A$56:$K$346,8,0)&amp;""</f>
        <v/>
      </c>
      <c r="I146" s="52" t="str">
        <f>VLOOKUP($A146,'Institution Evaluation'!$A$56:$K$346,9,0)&amp;""</f>
        <v>Critical Importance</v>
      </c>
      <c r="J146" s="193" t="str">
        <f>VLOOKUP($A146,'Institution Evaluation'!$A$56:$K$346,10,0)&amp;""</f>
        <v/>
      </c>
      <c r="K146" s="55" t="str">
        <f>IF(VLOOKUP($A146,'Institution Evaluation'!$A$56:$K$346,10,0)=TRUE,"Yes","")</f>
        <v/>
      </c>
    </row>
    <row r="147" spans="1:11" ht="409.5" x14ac:dyDescent="0.3">
      <c r="A147" s="25" t="s">
        <v>134</v>
      </c>
      <c r="B147" s="24" t="str">
        <f>VLOOKUP($A147,Questions!$A$2:$X$333,2,0)</f>
        <v>Do you have contractual language in place with third parties governing access to institutional data?*</v>
      </c>
      <c r="C147" s="52" t="str">
        <f>VLOOKUP($A147,'Institution Evaluation'!$A$56:$K$346,3,0)&amp;""</f>
        <v>Yes</v>
      </c>
      <c r="D147" s="52" t="str">
        <f>VLOOKUP($A147,'Institution Evaluation'!$A$56:$K$346,4,0)&amp;""</f>
        <v xml:space="preserve">The following third parties have access to institutional data:
1) Amazon Web Services (AWS) - Cirrus Identity runs all production loads using AWS. AWS will have access to stored institutional data and institutional data that is in transit between the end user and the institution.
2) BitWarden - Credentials for customer APIs and test accounts are stored in the LastPass service.
3) Bitbucket and GitHub - Cirrus Identity uses continuous integration and continuous deployment (CI/CD) practices to deliver our solutions. Our CI/CD pipeline utilizes git repositories for these practices. The CI/CD pipeline contains institutional data (for example metadata) that is stored at rest using git and encryption extensions for git.
4) Rapid7 - Cirrus Identity contracts with external vendor to do vulnerability assessment. 
5) Mailgun Email API and Managed Service - Unless an institution sets up the email handler to route mail through their email infrastructure, the mail generated from Cirrus Invitation Service, Cirrus Account Linking, and Cirrus External Identity Provider will be sent using the hosted service Mailgun. To perform this function, Mailgun will have access to the content of the messages sent.
6) Vanta is a service that is integrated with, compiles, and monitors Cirrus configuration and data in various systems (such as AWS, GitHub, Bitbucket and others). This data is used for ongoing compliance and auditing functions.
Cirrus Identity also utilizes the open source SimpleSAMLphp project (https://simplesamlphp.org/) as a foundational component of Cirrus Identity solutions. SimpleSAMLphp is a recognized and vetted standards based implementation of the SAML protocol. </v>
      </c>
      <c r="E147" s="351" t="str">
        <f>VLOOKUP($A147,'Institution Evaluation'!$A$56:$K$346,5,0)&amp;""</f>
        <v>List each third party and why institutional data is shared with them. Format example: [Third Party Name] - Reason</v>
      </c>
      <c r="F147" s="195" t="str">
        <f>VLOOKUP($A147,'Institution Evaluation'!$A$56:$K$346,6,0)&amp;""</f>
        <v/>
      </c>
      <c r="G147" s="37" t="str">
        <f>VLOOKUP($A147,'Institution Evaluation'!$A$56:$K$346,7,0)&amp;""</f>
        <v>Yes</v>
      </c>
      <c r="H147" s="192" t="str">
        <f>VLOOKUP($A147,'Institution Evaluation'!$A$56:$K$346,8,0)&amp;""</f>
        <v/>
      </c>
      <c r="I147" s="52" t="str">
        <f>VLOOKUP($A147,'Institution Evaluation'!$A$56:$K$346,9,0)&amp;""</f>
        <v>Critical Importance</v>
      </c>
      <c r="J147" s="193" t="str">
        <f>VLOOKUP($A147,'Institution Evaluation'!$A$56:$K$346,10,0)&amp;""</f>
        <v/>
      </c>
      <c r="K147" s="55" t="str">
        <f>IF(VLOOKUP($A147,'Institution Evaluation'!$A$56:$K$346,10,0)=TRUE,"Yes","")</f>
        <v/>
      </c>
    </row>
    <row r="148" spans="1:11" ht="27" x14ac:dyDescent="0.3">
      <c r="A148" s="25" t="s">
        <v>137</v>
      </c>
      <c r="B148" s="24" t="str">
        <f>VLOOKUP($A148,Questions!$A$2:$X$333,2,0)</f>
        <v>Do the contracts in place with these third parties address liability in the event of a data breach?*</v>
      </c>
      <c r="C148" s="52" t="str">
        <f>VLOOKUP($A148,'Institution Evaluation'!$A$56:$K$346,3,0)&amp;""</f>
        <v>Yes</v>
      </c>
      <c r="D148" s="52" t="str">
        <f>VLOOKUP($A148,'Institution Evaluation'!$A$56:$K$346,4,0)&amp;""</f>
        <v/>
      </c>
      <c r="E148" s="351" t="str">
        <f>VLOOKUP($A148,'Institution Evaluation'!$A$56:$K$346,5,0)&amp;""</f>
        <v/>
      </c>
      <c r="F148" s="195" t="str">
        <f>VLOOKUP($A148,'Institution Evaluation'!$A$56:$K$346,6,0)&amp;""</f>
        <v/>
      </c>
      <c r="G148" s="37" t="str">
        <f>VLOOKUP($A148,'Institution Evaluation'!$A$56:$K$346,7,0)&amp;""</f>
        <v>Yes</v>
      </c>
      <c r="H148" s="192" t="str">
        <f>VLOOKUP($A148,'Institution Evaluation'!$A$56:$K$346,8,0)&amp;""</f>
        <v/>
      </c>
      <c r="I148" s="52" t="str">
        <f>VLOOKUP($A148,'Institution Evaluation'!$A$56:$K$346,9,0)&amp;""</f>
        <v>Critical Importance</v>
      </c>
      <c r="J148" s="193" t="str">
        <f>VLOOKUP($A148,'Institution Evaluation'!$A$56:$K$346,10,0)&amp;""</f>
        <v/>
      </c>
      <c r="K148" s="55" t="str">
        <f>IF(VLOOKUP($A148,'Institution Evaluation'!$A$56:$K$346,10,0)=TRUE,"Yes","")</f>
        <v/>
      </c>
    </row>
    <row r="149" spans="1:11" ht="105" x14ac:dyDescent="0.3">
      <c r="A149" s="25" t="s">
        <v>138</v>
      </c>
      <c r="B149" s="24" t="str">
        <f>VLOOKUP($A149,Questions!$A$2:$X$333,2,0)</f>
        <v>Do you have an implemented third-party management strategy?*</v>
      </c>
      <c r="C149" s="52" t="str">
        <f>VLOOKUP($A149,'Institution Evaluation'!$A$56:$K$346,3,0)&amp;""</f>
        <v>Yes</v>
      </c>
      <c r="D149" s="52" t="str">
        <f>VLOOKUP($A149,'Institution Evaluation'!$A$56:$K$346,4,0)&amp;""</f>
        <v>The Third-Party Management Policy and associated standard operating procedures are available upon request.</v>
      </c>
      <c r="E149" s="351" t="str">
        <f>VLOOKUP($A149,'Institution Evaluation'!$A$56:$K$346,5,0)&amp;""</f>
        <v>Provide additional information that may help analysts better understand your environment and how it relates to third-party solutions.</v>
      </c>
      <c r="F149" s="195" t="str">
        <f>VLOOKUP($A149,'Institution Evaluation'!$A$56:$K$346,6,0)&amp;""</f>
        <v/>
      </c>
      <c r="G149" s="37" t="str">
        <f>VLOOKUP($A149,'Institution Evaluation'!$A$56:$K$346,7,0)&amp;""</f>
        <v>Yes</v>
      </c>
      <c r="H149" s="192" t="str">
        <f>VLOOKUP($A149,'Institution Evaluation'!$A$56:$K$346,8,0)&amp;""</f>
        <v/>
      </c>
      <c r="I149" s="52" t="str">
        <f>VLOOKUP($A149,'Institution Evaluation'!$A$56:$K$346,9,0)&amp;""</f>
        <v>Critical Importance</v>
      </c>
      <c r="J149" s="193" t="str">
        <f>VLOOKUP($A149,'Institution Evaluation'!$A$56:$K$346,10,0)&amp;""</f>
        <v/>
      </c>
      <c r="K149" s="55" t="str">
        <f>IF(VLOOKUP($A149,'Institution Evaluation'!$A$56:$K$346,10,0)=TRUE,"Yes","")</f>
        <v/>
      </c>
    </row>
    <row r="150" spans="1:11" s="1" customFormat="1" ht="17.5" x14ac:dyDescent="0.25">
      <c r="A150" s="70" t="str">
        <f>VLOOKUP(LEFT($A151,4),'Auto Responses'!$N$4:$O$38,2,0)&amp;""</f>
        <v xml:space="preserve"> Consulting Services</v>
      </c>
      <c r="B150" s="29"/>
      <c r="C150" s="38"/>
      <c r="D150" s="38"/>
      <c r="E150" s="352"/>
      <c r="F150" s="139" t="s">
        <v>1089</v>
      </c>
      <c r="G150" s="359" t="s">
        <v>925</v>
      </c>
      <c r="H150" s="359" t="s">
        <v>927</v>
      </c>
      <c r="I150" s="359" t="s">
        <v>19</v>
      </c>
      <c r="J150" s="359" t="s">
        <v>912</v>
      </c>
      <c r="K150" s="38"/>
    </row>
    <row r="151" spans="1:11" ht="90" x14ac:dyDescent="0.3">
      <c r="A151" s="25" t="s">
        <v>146</v>
      </c>
      <c r="B151" s="24" t="str">
        <f>VLOOKUP($A151,Questions!$A$2:$X$333,2,0)</f>
        <v>Will the consultant require access to the institution's network resources?*</v>
      </c>
      <c r="C151" s="52" t="str">
        <f>VLOOKUP($A151,'Institution Evaluation'!$A$56:$K$346,3,0)&amp;""</f>
        <v/>
      </c>
      <c r="D151" s="52" t="str">
        <f>VLOOKUP($A151,'Institution Evaluation'!$A$56:$K$346,4,0)&amp;""</f>
        <v/>
      </c>
      <c r="E151" s="351" t="str">
        <f>VLOOKUP($A151,'Institution Evaluation'!$A$56:$K$346,5,0)&amp;""</f>
        <v>Based on the response to REQU-03 on the "START HERE" tab, this question does not apply to this product or service.</v>
      </c>
      <c r="F151" s="195" t="str">
        <f>VLOOKUP($A151,'Institution Evaluation'!$A$56:$K$346,6,0)&amp;""</f>
        <v/>
      </c>
      <c r="G151" s="37" t="str">
        <f>VLOOKUP($A151,'Institution Evaluation'!$A$56:$K$346,7,0)&amp;""</f>
        <v>No</v>
      </c>
      <c r="H151" s="192" t="str">
        <f>VLOOKUP($A151,'Institution Evaluation'!$A$56:$K$346,8,0)&amp;""</f>
        <v/>
      </c>
      <c r="I151" s="52" t="str">
        <f>VLOOKUP($A151,'Institution Evaluation'!$A$56:$K$346,9,0)&amp;""</f>
        <v>Critical Importance</v>
      </c>
      <c r="J151" s="193" t="str">
        <f>VLOOKUP($A151,'Institution Evaluation'!$A$56:$K$346,10,0)&amp;""</f>
        <v/>
      </c>
      <c r="K151" s="55" t="str">
        <f>IF(VLOOKUP($A151,'Institution Evaluation'!$A$56:$K$346,10,0)=TRUE,"Yes","")</f>
        <v/>
      </c>
    </row>
    <row r="152" spans="1:11" ht="90" x14ac:dyDescent="0.3">
      <c r="A152" s="25" t="s">
        <v>150</v>
      </c>
      <c r="B152" s="24" t="str">
        <f>VLOOKUP($A152,Questions!$A$2:$X$333,2,0)</f>
        <v>Has the consultant received training on (sensitive, HIPAA, PCI, etc.) data handling?*</v>
      </c>
      <c r="C152" s="52" t="str">
        <f>VLOOKUP($A152,'Institution Evaluation'!$A$56:$K$346,3,0)&amp;""</f>
        <v/>
      </c>
      <c r="D152" s="52" t="str">
        <f>VLOOKUP($A152,'Institution Evaluation'!$A$56:$K$346,4,0)&amp;""</f>
        <v/>
      </c>
      <c r="E152" s="351" t="str">
        <f>VLOOKUP($A152,'Institution Evaluation'!$A$56:$K$346,5,0)&amp;""</f>
        <v>Based on the response to REQU-03 on the "START HERE" tab, this question does not apply to this product or service.</v>
      </c>
      <c r="F152" s="195" t="str">
        <f>VLOOKUP($A152,'Institution Evaluation'!$A$56:$K$346,6,0)&amp;""</f>
        <v/>
      </c>
      <c r="G152" s="37" t="str">
        <f>VLOOKUP($A152,'Institution Evaluation'!$A$56:$K$346,7,0)&amp;""</f>
        <v>Yes</v>
      </c>
      <c r="H152" s="192" t="str">
        <f>VLOOKUP($A152,'Institution Evaluation'!$A$56:$K$346,8,0)&amp;""</f>
        <v/>
      </c>
      <c r="I152" s="52" t="str">
        <f>VLOOKUP($A152,'Institution Evaluation'!$A$56:$K$346,9,0)&amp;""</f>
        <v>Critical Importance</v>
      </c>
      <c r="J152" s="193" t="str">
        <f>VLOOKUP($A152,'Institution Evaluation'!$A$56:$K$346,10,0)&amp;""</f>
        <v/>
      </c>
      <c r="K152" s="55" t="str">
        <f>IF(VLOOKUP($A152,'Institution Evaluation'!$A$56:$K$346,10,0)=TRUE,"Yes","")</f>
        <v/>
      </c>
    </row>
    <row r="153" spans="1:11" ht="90" x14ac:dyDescent="0.3">
      <c r="A153" s="25" t="s">
        <v>151</v>
      </c>
      <c r="B153" s="24" t="str">
        <f>VLOOKUP($A153,Questions!$A$2:$X$333,2,0)</f>
        <v>Is the data encrypted (at rest) while in the consultant's possession?*</v>
      </c>
      <c r="C153" s="52" t="str">
        <f>VLOOKUP($A153,'Institution Evaluation'!$A$56:$K$346,3,0)&amp;""</f>
        <v/>
      </c>
      <c r="D153" s="52" t="str">
        <f>VLOOKUP($A153,'Institution Evaluation'!$A$56:$K$346,4,0)&amp;""</f>
        <v/>
      </c>
      <c r="E153" s="351" t="str">
        <f>VLOOKUP($A153,'Institution Evaluation'!$A$56:$K$346,5,0)&amp;""</f>
        <v>Based on the response to REQU-03 on the "START HERE" tab, this question does not apply to this product or service.</v>
      </c>
      <c r="F153" s="195" t="str">
        <f>VLOOKUP($A153,'Institution Evaluation'!$A$56:$K$346,6,0)&amp;""</f>
        <v/>
      </c>
      <c r="G153" s="37" t="str">
        <f>VLOOKUP($A153,'Institution Evaluation'!$A$56:$K$346,7,0)&amp;""</f>
        <v>Yes</v>
      </c>
      <c r="H153" s="192" t="str">
        <f>VLOOKUP($A153,'Institution Evaluation'!$A$56:$K$346,8,0)&amp;""</f>
        <v/>
      </c>
      <c r="I153" s="52" t="str">
        <f>VLOOKUP($A153,'Institution Evaluation'!$A$56:$K$346,9,0)&amp;""</f>
        <v>Critical Importance</v>
      </c>
      <c r="J153" s="193" t="str">
        <f>VLOOKUP($A153,'Institution Evaluation'!$A$56:$K$346,10,0)&amp;""</f>
        <v/>
      </c>
      <c r="K153" s="55" t="str">
        <f>IF(VLOOKUP($A153,'Institution Evaluation'!$A$56:$K$346,10,0)=TRUE,"Yes","")</f>
        <v/>
      </c>
    </row>
    <row r="154" spans="1:11" ht="90" x14ac:dyDescent="0.3">
      <c r="A154" s="25" t="s">
        <v>153</v>
      </c>
      <c r="B154" s="24" t="str">
        <f>VLOOKUP($A154,Questions!$A$2:$X$333,2,0)</f>
        <v>Can access be restricted based on source IP address?*</v>
      </c>
      <c r="C154" s="52" t="str">
        <f>VLOOKUP($A154,'Institution Evaluation'!$A$56:$K$346,3,0)&amp;""</f>
        <v/>
      </c>
      <c r="D154" s="52" t="str">
        <f>VLOOKUP($A154,'Institution Evaluation'!$A$56:$K$346,4,0)&amp;""</f>
        <v/>
      </c>
      <c r="E154" s="351" t="str">
        <f>VLOOKUP($A154,'Institution Evaluation'!$A$56:$K$346,5,0)&amp;""</f>
        <v>Based on the response to REQU-03 on the "START HERE" tab, this question does not apply to this product or service.</v>
      </c>
      <c r="F154" s="195" t="str">
        <f>VLOOKUP($A154,'Institution Evaluation'!$A$56:$K$346,6,0)&amp;""</f>
        <v/>
      </c>
      <c r="G154" s="37" t="str">
        <f>VLOOKUP($A154,'Institution Evaluation'!$A$56:$K$346,7,0)&amp;""</f>
        <v>Yes</v>
      </c>
      <c r="H154" s="192" t="str">
        <f>VLOOKUP($A154,'Institution Evaluation'!$A$56:$K$346,8,0)&amp;""</f>
        <v/>
      </c>
      <c r="I154" s="52" t="str">
        <f>VLOOKUP($A154,'Institution Evaluation'!$A$56:$K$346,9,0)&amp;""</f>
        <v>Critical Importance</v>
      </c>
      <c r="J154" s="193" t="str">
        <f>VLOOKUP($A154,'Institution Evaluation'!$A$56:$K$346,10,0)&amp;""</f>
        <v/>
      </c>
      <c r="K154" s="55" t="str">
        <f>IF(VLOOKUP($A154,'Institution Evaluation'!$A$56:$K$346,10,0)=TRUE,"Yes","")</f>
        <v/>
      </c>
    </row>
    <row r="155" spans="1:11" ht="90" x14ac:dyDescent="0.3">
      <c r="A155" s="25" t="s">
        <v>155</v>
      </c>
      <c r="B155" s="24" t="str">
        <f>VLOOKUP($A155,Questions!$A$2:$X$333,2,0)</f>
        <v>Will the consulting take place on-premises?</v>
      </c>
      <c r="C155" s="52" t="str">
        <f>VLOOKUP($A155,'Institution Evaluation'!$A$56:$K$346,3,0)&amp;""</f>
        <v/>
      </c>
      <c r="D155" s="52" t="str">
        <f>VLOOKUP($A155,'Institution Evaluation'!$A$56:$K$346,4,0)&amp;""</f>
        <v/>
      </c>
      <c r="E155" s="351" t="str">
        <f>VLOOKUP($A155,'Institution Evaluation'!$A$56:$K$346,5,0)&amp;""</f>
        <v>Based on the response to REQU-03 on the "START HERE" tab, this question does not apply to this product or service.</v>
      </c>
      <c r="F155" s="195" t="str">
        <f>VLOOKUP($A155,'Institution Evaluation'!$A$56:$K$346,6,0)&amp;""</f>
        <v/>
      </c>
      <c r="G155" s="37" t="str">
        <f>VLOOKUP($A155,'Institution Evaluation'!$A$56:$K$346,7,0)&amp;""</f>
        <v>No</v>
      </c>
      <c r="H155" s="192" t="str">
        <f>VLOOKUP($A155,'Institution Evaluation'!$A$56:$K$346,8,0)&amp;""</f>
        <v/>
      </c>
      <c r="I155" s="52" t="str">
        <f>VLOOKUP($A155,'Institution Evaluation'!$A$56:$K$346,9,0)&amp;""</f>
        <v>Standard Importance</v>
      </c>
      <c r="J155" s="193" t="str">
        <f>VLOOKUP($A155,'Institution Evaluation'!$A$56:$K$346,10,0)&amp;""</f>
        <v/>
      </c>
      <c r="K155" s="55" t="str">
        <f>IF(VLOOKUP($A155,'Institution Evaluation'!$A$56:$K$346,10,0)=TRUE,"Yes","")</f>
        <v/>
      </c>
    </row>
    <row r="156" spans="1:11" ht="90" x14ac:dyDescent="0.3">
      <c r="A156" s="25" t="s">
        <v>156</v>
      </c>
      <c r="B156" s="24" t="str">
        <f>VLOOKUP($A156,Questions!$A$2:$X$333,2,0)</f>
        <v>Will the consultant require access to hardware in the institution's data centers?</v>
      </c>
      <c r="C156" s="52" t="str">
        <f>VLOOKUP($A156,'Institution Evaluation'!$A$56:$K$346,3,0)&amp;""</f>
        <v/>
      </c>
      <c r="D156" s="52" t="str">
        <f>VLOOKUP($A156,'Institution Evaluation'!$A$56:$K$346,4,0)&amp;""</f>
        <v/>
      </c>
      <c r="E156" s="351" t="str">
        <f>VLOOKUP($A156,'Institution Evaluation'!$A$56:$K$346,5,0)&amp;""</f>
        <v>Based on the response to REQU-03 on the "START HERE" tab, this question does not apply to this product or service.</v>
      </c>
      <c r="F156" s="195" t="str">
        <f>VLOOKUP($A156,'Institution Evaluation'!$A$56:$K$346,6,0)&amp;""</f>
        <v/>
      </c>
      <c r="G156" s="37" t="str">
        <f>VLOOKUP($A156,'Institution Evaluation'!$A$56:$K$346,7,0)&amp;""</f>
        <v>No</v>
      </c>
      <c r="H156" s="192" t="str">
        <f>VLOOKUP($A156,'Institution Evaluation'!$A$56:$K$346,8,0)&amp;""</f>
        <v/>
      </c>
      <c r="I156" s="52" t="str">
        <f>VLOOKUP($A156,'Institution Evaluation'!$A$56:$K$346,9,0)&amp;""</f>
        <v>Standard Importance</v>
      </c>
      <c r="J156" s="193" t="str">
        <f>VLOOKUP($A156,'Institution Evaluation'!$A$56:$K$346,10,0)&amp;""</f>
        <v/>
      </c>
      <c r="K156" s="55" t="str">
        <f>IF(VLOOKUP($A156,'Institution Evaluation'!$A$56:$K$346,10,0)=TRUE,"Yes","")</f>
        <v/>
      </c>
    </row>
    <row r="157" spans="1:11" ht="90" x14ac:dyDescent="0.3">
      <c r="A157" s="25" t="s">
        <v>159</v>
      </c>
      <c r="B157" s="24" t="str">
        <f>VLOOKUP($A157,Questions!$A$2:$X$333,2,0)</f>
        <v>Will the consultant require an account within the institution's domain (@*.edu)?</v>
      </c>
      <c r="C157" s="52" t="str">
        <f>VLOOKUP($A157,'Institution Evaluation'!$A$56:$K$346,3,0)&amp;""</f>
        <v/>
      </c>
      <c r="D157" s="52" t="str">
        <f>VLOOKUP($A157,'Institution Evaluation'!$A$56:$K$346,4,0)&amp;""</f>
        <v/>
      </c>
      <c r="E157" s="351" t="str">
        <f>VLOOKUP($A157,'Institution Evaluation'!$A$56:$K$346,5,0)&amp;""</f>
        <v>Based on the response to REQU-03 on the "START HERE" tab, this question does not apply to this product or service.</v>
      </c>
      <c r="F157" s="195" t="str">
        <f>VLOOKUP($A157,'Institution Evaluation'!$A$56:$K$346,6,0)&amp;""</f>
        <v/>
      </c>
      <c r="G157" s="37" t="str">
        <f>VLOOKUP($A157,'Institution Evaluation'!$A$56:$K$346,7,0)&amp;""</f>
        <v>No</v>
      </c>
      <c r="H157" s="192" t="str">
        <f>VLOOKUP($A157,'Institution Evaluation'!$A$56:$K$346,8,0)&amp;""</f>
        <v/>
      </c>
      <c r="I157" s="52" t="str">
        <f>VLOOKUP($A157,'Institution Evaluation'!$A$56:$K$346,9,0)&amp;""</f>
        <v>Standard Importance</v>
      </c>
      <c r="J157" s="193" t="str">
        <f>VLOOKUP($A157,'Institution Evaluation'!$A$56:$K$346,10,0)&amp;""</f>
        <v/>
      </c>
      <c r="K157" s="55" t="str">
        <f>IF(VLOOKUP($A157,'Institution Evaluation'!$A$56:$K$346,10,0)=TRUE,"Yes","")</f>
        <v/>
      </c>
    </row>
    <row r="158" spans="1:11" ht="90" x14ac:dyDescent="0.3">
      <c r="A158" s="25" t="s">
        <v>160</v>
      </c>
      <c r="B158" s="24" t="str">
        <f>VLOOKUP($A158,Questions!$A$2:$X$333,2,0)</f>
        <v>Will any data be transferred to the consultant's possession?</v>
      </c>
      <c r="C158" s="52" t="str">
        <f>VLOOKUP($A158,'Institution Evaluation'!$A$56:$K$346,3,0)&amp;""</f>
        <v/>
      </c>
      <c r="D158" s="52" t="str">
        <f>VLOOKUP($A158,'Institution Evaluation'!$A$56:$K$346,4,0)&amp;""</f>
        <v/>
      </c>
      <c r="E158" s="351" t="str">
        <f>VLOOKUP($A158,'Institution Evaluation'!$A$56:$K$346,5,0)&amp;""</f>
        <v>Based on the response to REQU-03 on the "START HERE" tab, this question does not apply to this product or service.</v>
      </c>
      <c r="F158" s="195" t="str">
        <f>VLOOKUP($A158,'Institution Evaluation'!$A$56:$K$346,6,0)&amp;""</f>
        <v/>
      </c>
      <c r="G158" s="37" t="str">
        <f>VLOOKUP($A158,'Institution Evaluation'!$A$56:$K$346,7,0)&amp;""</f>
        <v>No</v>
      </c>
      <c r="H158" s="192" t="str">
        <f>VLOOKUP($A158,'Institution Evaluation'!$A$56:$K$346,8,0)&amp;""</f>
        <v/>
      </c>
      <c r="I158" s="52" t="str">
        <f>VLOOKUP($A158,'Institution Evaluation'!$A$56:$K$346,9,0)&amp;""</f>
        <v>Standard Importance</v>
      </c>
      <c r="J158" s="193" t="str">
        <f>VLOOKUP($A158,'Institution Evaluation'!$A$56:$K$346,10,0)&amp;""</f>
        <v/>
      </c>
      <c r="K158" s="55" t="str">
        <f>IF(VLOOKUP($A158,'Institution Evaluation'!$A$56:$K$346,10,0)=TRUE,"Yes","")</f>
        <v/>
      </c>
    </row>
    <row r="159" spans="1:11" ht="90" x14ac:dyDescent="0.3">
      <c r="A159" s="25" t="s">
        <v>163</v>
      </c>
      <c r="B159" s="24" t="str">
        <f>VLOOKUP($A159,Questions!$A$2:$X$333,2,0)</f>
        <v>Will the consultant need remote access to the institution's network or systems?</v>
      </c>
      <c r="C159" s="52" t="str">
        <f>VLOOKUP($A159,'Institution Evaluation'!$A$56:$K$346,3,0)&amp;""</f>
        <v/>
      </c>
      <c r="D159" s="52" t="str">
        <f>VLOOKUP($A159,'Institution Evaluation'!$A$56:$K$346,4,0)&amp;""</f>
        <v/>
      </c>
      <c r="E159" s="351" t="str">
        <f>VLOOKUP($A159,'Institution Evaluation'!$A$56:$K$346,5,0)&amp;""</f>
        <v>Based on the response to REQU-03 on the "START HERE" tab, this question does not apply to this product or service.</v>
      </c>
      <c r="F159" s="195" t="str">
        <f>VLOOKUP($A159,'Institution Evaluation'!$A$56:$K$346,6,0)&amp;""</f>
        <v/>
      </c>
      <c r="G159" s="37" t="str">
        <f>VLOOKUP($A159,'Institution Evaluation'!$A$56:$K$346,7,0)&amp;""</f>
        <v>No</v>
      </c>
      <c r="H159" s="192" t="str">
        <f>VLOOKUP($A159,'Institution Evaluation'!$A$56:$K$346,8,0)&amp;""</f>
        <v/>
      </c>
      <c r="I159" s="52" t="str">
        <f>VLOOKUP($A159,'Institution Evaluation'!$A$56:$K$346,9,0)&amp;""</f>
        <v>Standard Importance</v>
      </c>
      <c r="J159" s="193" t="str">
        <f>VLOOKUP($A159,'Institution Evaluation'!$A$56:$K$346,10,0)&amp;""</f>
        <v/>
      </c>
      <c r="K159" s="55" t="str">
        <f>IF(VLOOKUP($A159,'Institution Evaluation'!$A$56:$K$346,10,0)=TRUE,"Yes","")</f>
        <v/>
      </c>
    </row>
    <row r="160" spans="1:11" s="1" customFormat="1" ht="17.5" x14ac:dyDescent="0.25">
      <c r="A160" s="70" t="str">
        <f>VLOOKUP(LEFT($A161,4),'Auto Responses'!$N$4:$O$38,2,0)&amp;""</f>
        <v xml:space="preserve"> Application/Service Security</v>
      </c>
      <c r="B160" s="29"/>
      <c r="C160" s="38"/>
      <c r="D160" s="38"/>
      <c r="E160" s="352"/>
      <c r="F160" s="139" t="s">
        <v>1089</v>
      </c>
      <c r="G160" s="359" t="s">
        <v>925</v>
      </c>
      <c r="H160" s="359" t="s">
        <v>927</v>
      </c>
      <c r="I160" s="359" t="s">
        <v>19</v>
      </c>
      <c r="J160" s="359" t="s">
        <v>912</v>
      </c>
      <c r="K160" s="38"/>
    </row>
    <row r="161" spans="1:11" ht="120" x14ac:dyDescent="0.3">
      <c r="A161" s="25" t="s">
        <v>164</v>
      </c>
      <c r="B161" s="24" t="str">
        <f>VLOOKUP($A161,Questions!$A$2:$X$333,2,0)</f>
        <v>Are access controls for institutional accounts based on structured rules, such as role-based access control (RBAC), attribute-based access control (ABAC), or policy-based access control (PBAC)?*</v>
      </c>
      <c r="C161" s="52" t="str">
        <f>VLOOKUP($A161,'Institution Evaluation'!$A$56:$K$346,3,0)&amp;""</f>
        <v>Yes</v>
      </c>
      <c r="D161" s="52" t="str">
        <f>VLOOKUP($A161,'Institution Evaluation'!$A$56:$K$346,4,0)&amp;""</f>
        <v>The Cirrus Identity Products are used to provide access to downstream service providers. Depending on service provider; RBAC, ABAC, or PBAC can be supported.</v>
      </c>
      <c r="E161" s="351" t="str">
        <f>VLOOKUP($A161,'Institution Evaluation'!$A$56:$K$346,5,0)&amp;""</f>
        <v>Describe available roles.</v>
      </c>
      <c r="F161" s="195" t="str">
        <f>VLOOKUP($A161,'Institution Evaluation'!$A$56:$K$346,6,0)&amp;""</f>
        <v/>
      </c>
      <c r="G161" s="37" t="str">
        <f>VLOOKUP($A161,'Institution Evaluation'!$A$56:$K$346,7,0)&amp;""</f>
        <v>Yes</v>
      </c>
      <c r="H161" s="192" t="str">
        <f>VLOOKUP($A161,'Institution Evaluation'!$A$56:$K$346,8,0)&amp;""</f>
        <v/>
      </c>
      <c r="I161" s="52" t="str">
        <f>VLOOKUP($A161,'Institution Evaluation'!$A$56:$K$346,9,0)&amp;""</f>
        <v>Critical Importance</v>
      </c>
      <c r="J161" s="193" t="str">
        <f>VLOOKUP($A161,'Institution Evaluation'!$A$56:$K$346,10,0)&amp;""</f>
        <v/>
      </c>
      <c r="K161" s="55" t="str">
        <f>IF(VLOOKUP($A161,'Institution Evaluation'!$A$56:$K$346,10,0)=TRUE,"Yes","")</f>
        <v/>
      </c>
    </row>
    <row r="162" spans="1:11" ht="90" x14ac:dyDescent="0.3">
      <c r="A162" s="25" t="s">
        <v>169</v>
      </c>
      <c r="B162" s="24" t="str">
        <f>VLOOKUP($A162,Questions!$A$2:$X$333,2,0)</f>
        <v>Are you using a web application firewall (WAF)?*</v>
      </c>
      <c r="C162" s="52" t="str">
        <f>VLOOKUP($A162,'Institution Evaluation'!$A$56:$K$346,3,0)&amp;""</f>
        <v>Yes</v>
      </c>
      <c r="D162" s="52" t="str">
        <f>VLOOKUP($A162,'Institution Evaluation'!$A$56:$K$346,4,0)&amp;""</f>
        <v>Cirrus Identity has implemented AWS WAF -- https://aws.amazon.com/waf/?nc2=h_ql_prod_se_waf</v>
      </c>
      <c r="E162" s="351" t="str">
        <f>VLOOKUP($A162,'Institution Evaluation'!$A$56:$K$346,5,0)&amp;""</f>
        <v>Describe the currently implemented WAF.</v>
      </c>
      <c r="F162" s="195" t="str">
        <f>VLOOKUP($A162,'Institution Evaluation'!$A$56:$K$346,6,0)&amp;""</f>
        <v/>
      </c>
      <c r="G162" s="37" t="str">
        <f>VLOOKUP($A162,'Institution Evaluation'!$A$56:$K$346,7,0)&amp;""</f>
        <v>Yes</v>
      </c>
      <c r="H162" s="192" t="str">
        <f>VLOOKUP($A162,'Institution Evaluation'!$A$56:$K$346,8,0)&amp;""</f>
        <v/>
      </c>
      <c r="I162" s="52" t="str">
        <f>VLOOKUP($A162,'Institution Evaluation'!$A$56:$K$346,9,0)&amp;""</f>
        <v>Critical Importance</v>
      </c>
      <c r="J162" s="193" t="str">
        <f>VLOOKUP($A162,'Institution Evaluation'!$A$56:$K$346,10,0)&amp;""</f>
        <v/>
      </c>
      <c r="K162" s="55" t="str">
        <f>IF(VLOOKUP($A162,'Institution Evaluation'!$A$56:$K$346,10,0)=TRUE,"Yes","")</f>
        <v/>
      </c>
    </row>
    <row r="163" spans="1:11" ht="40.5" x14ac:dyDescent="0.3">
      <c r="A163" s="25" t="s">
        <v>196</v>
      </c>
      <c r="B163" s="24" t="str">
        <f>VLOOKUP($A163,Questions!$A$2:$X$333,2,0)</f>
        <v>Are access controls for staff within your organization based on structured rules, such as RBAC, ABAC, or PBAC?</v>
      </c>
      <c r="C163" s="52" t="str">
        <f>VLOOKUP($A163,'Institution Evaluation'!$A$56:$K$346,3,0)&amp;""</f>
        <v>Yes</v>
      </c>
      <c r="D163" s="52" t="str">
        <f>VLOOKUP($A163,'Institution Evaluation'!$A$56:$K$346,4,0)&amp;""</f>
        <v/>
      </c>
      <c r="E163" s="351" t="str">
        <f>VLOOKUP($A163,'Institution Evaluation'!$A$56:$K$346,5,0)&amp;""</f>
        <v/>
      </c>
      <c r="F163" s="195" t="str">
        <f>VLOOKUP($A163,'Institution Evaluation'!$A$56:$K$346,6,0)&amp;""</f>
        <v/>
      </c>
      <c r="G163" s="37" t="str">
        <f>VLOOKUP($A163,'Institution Evaluation'!$A$56:$K$346,7,0)&amp;""</f>
        <v>Yes</v>
      </c>
      <c r="H163" s="192" t="str">
        <f>VLOOKUP($A163,'Institution Evaluation'!$A$56:$K$346,8,0)&amp;""</f>
        <v/>
      </c>
      <c r="I163" s="52" t="str">
        <f>VLOOKUP($A163,'Institution Evaluation'!$A$56:$K$346,9,0)&amp;""</f>
        <v>Standard Importance</v>
      </c>
      <c r="J163" s="193" t="str">
        <f>VLOOKUP($A163,'Institution Evaluation'!$A$56:$K$346,10,0)&amp;""</f>
        <v/>
      </c>
      <c r="K163" s="55" t="str">
        <f>IF(VLOOKUP($A163,'Institution Evaluation'!$A$56:$K$346,10,0)=TRUE,"Yes","")</f>
        <v/>
      </c>
    </row>
    <row r="164" spans="1:11" s="1" customFormat="1" ht="17.5" x14ac:dyDescent="0.25">
      <c r="A164" s="70" t="str">
        <f>VLOOKUP(LEFT($A165,4),'Auto Responses'!$N$4:$O$38,2,0)&amp;""</f>
        <v xml:space="preserve"> Authentication, Authorization, and Account Management</v>
      </c>
      <c r="B164" s="29"/>
      <c r="C164" s="38"/>
      <c r="D164" s="38"/>
      <c r="E164" s="352"/>
      <c r="F164" s="139" t="s">
        <v>1089</v>
      </c>
      <c r="G164" s="359" t="s">
        <v>925</v>
      </c>
      <c r="H164" s="359" t="s">
        <v>927</v>
      </c>
      <c r="I164" s="359" t="s">
        <v>19</v>
      </c>
      <c r="J164" s="359" t="s">
        <v>912</v>
      </c>
      <c r="K164" s="38"/>
    </row>
    <row r="165" spans="1:11" ht="345" x14ac:dyDescent="0.3">
      <c r="A165" s="25" t="s">
        <v>222</v>
      </c>
      <c r="B165" s="24" t="str">
        <f>VLOOKUP($A165,Questions!$A$2:$X$333,2,0)</f>
        <v>Does your solution support single sign-on (SSO) protocols for user and administrator authentication?*</v>
      </c>
      <c r="C165" s="52" t="str">
        <f>VLOOKUP($A165,'Institution Evaluation'!$A$56:$K$346,3,0)&amp;""</f>
        <v>Yes</v>
      </c>
      <c r="D165" s="52" t="str">
        <f>VLOOKUP($A165,'Institution Evaluation'!$A$56:$K$346,4,0)&amp;""</f>
        <v xml:space="preserve">The majority of Cirrus Identity Products utilizes web application single sign-on (WebSSO) protocols for either end user or administrator authentication. Cirrus Identity Products defer to the source identity provider for the strength of the authentication. Cirrus Identity offers the Cirrus Identity OrgBrandedID which is a hosted light weight SAML V2 Identity Provider that can be used by end users that do not have another identity provider option. </v>
      </c>
      <c r="E165" s="351" t="str">
        <f>VLOOKUP($A165,'Institution Evaluation'!$A$56:$K$346,5,0)&amp;""</f>
        <v>Describe how strong authentication is enforced (e.g., complex passwords, multifactor tokens, certificates, biometrics, aging requirements, re-use policy).</v>
      </c>
      <c r="F165" s="195" t="str">
        <f>VLOOKUP($A165,'Institution Evaluation'!$A$56:$K$346,6,0)&amp;""</f>
        <v/>
      </c>
      <c r="G165" s="37" t="str">
        <f>VLOOKUP($A165,'Institution Evaluation'!$A$56:$K$346,7,0)&amp;""</f>
        <v>Yes</v>
      </c>
      <c r="H165" s="192" t="str">
        <f>VLOOKUP($A165,'Institution Evaluation'!$A$56:$K$346,8,0)&amp;""</f>
        <v/>
      </c>
      <c r="I165" s="52" t="str">
        <f>VLOOKUP($A165,'Institution Evaluation'!$A$56:$K$346,9,0)&amp;""</f>
        <v>Critical Importance</v>
      </c>
      <c r="J165" s="193" t="str">
        <f>VLOOKUP($A165,'Institution Evaluation'!$A$56:$K$346,10,0)&amp;""</f>
        <v/>
      </c>
      <c r="K165" s="55" t="str">
        <f>IF(VLOOKUP($A165,'Institution Evaluation'!$A$56:$K$346,10,0)=TRUE,"Yes","")</f>
        <v/>
      </c>
    </row>
    <row r="166" spans="1:11" ht="105" x14ac:dyDescent="0.3">
      <c r="A166" s="25" t="s">
        <v>227</v>
      </c>
      <c r="B166" s="24" t="str">
        <f>VLOOKUP($A166,Questions!$A$2:$X$333,2,0)</f>
        <v>For customers not using SSO, does your solution support local authentication protocols for user and administrator authentication?*</v>
      </c>
      <c r="C166" s="52" t="str">
        <f>VLOOKUP($A166,'Institution Evaluation'!$A$56:$K$346,3,0)&amp;""</f>
        <v>No</v>
      </c>
      <c r="D166" s="52" t="str">
        <f>VLOOKUP($A166,'Institution Evaluation'!$A$56:$K$346,4,0)&amp;""</f>
        <v>Cirrus Identity PRoducts utilize web application single sign-on (WebSSO) protocols for either end user or administrator authentication.</v>
      </c>
      <c r="E166" s="351" t="str">
        <f>VLOOKUP($A166,'Institution Evaluation'!$A$56:$K$346,5,0)&amp;""</f>
        <v>Describe any plans to support local authentication modes.</v>
      </c>
      <c r="F166" s="195" t="str">
        <f>VLOOKUP($A166,'Institution Evaluation'!$A$56:$K$346,6,0)&amp;""</f>
        <v/>
      </c>
      <c r="G166" s="37" t="str">
        <f>VLOOKUP($A166,'Institution Evaluation'!$A$56:$K$346,7,0)&amp;""</f>
        <v>Yes</v>
      </c>
      <c r="H166" s="192" t="str">
        <f>VLOOKUP($A166,'Institution Evaluation'!$A$56:$K$346,8,0)&amp;""</f>
        <v/>
      </c>
      <c r="I166" s="52" t="str">
        <f>VLOOKUP($A166,'Institution Evaluation'!$A$56:$K$346,9,0)&amp;""</f>
        <v>Critical Importance</v>
      </c>
      <c r="J166" s="193" t="str">
        <f>VLOOKUP($A166,'Institution Evaluation'!$A$56:$K$346,10,0)&amp;""</f>
        <v/>
      </c>
      <c r="K166" s="55" t="str">
        <f>IF(VLOOKUP($A166,'Institution Evaluation'!$A$56:$K$346,10,0)=TRUE,"Yes","")</f>
        <v/>
      </c>
    </row>
    <row r="167" spans="1:11" ht="105" x14ac:dyDescent="0.3">
      <c r="A167" s="25" t="s">
        <v>259</v>
      </c>
      <c r="B167" s="24" t="str">
        <f>VLOOKUP($A167,Questions!$A$2:$X$333,2,0)</f>
        <v>For customers not using SSO, does your application support integration with other authentication and authorization systems?</v>
      </c>
      <c r="C167" s="52" t="str">
        <f>VLOOKUP($A167,'Institution Evaluation'!$A$56:$K$346,3,0)&amp;""</f>
        <v>Yes</v>
      </c>
      <c r="D167" s="52" t="str">
        <f>VLOOKUP($A167,'Institution Evaluation'!$A$56:$K$346,4,0)&amp;""</f>
        <v>Primary integration would use SAML2 WebSSO protocol, but some products also support OIDC or CAS.</v>
      </c>
      <c r="E167" s="351" t="str">
        <f>VLOOKUP($A167,'Institution Evaluation'!$A$56:$K$346,5,0)&amp;""</f>
        <v>List which systems and versions supported (such as Active Directory, Kerberos, or other LDAP compatible directory) in Additional Info.</v>
      </c>
      <c r="F167" s="195" t="str">
        <f>VLOOKUP($A167,'Institution Evaluation'!$A$56:$K$346,6,0)&amp;""</f>
        <v/>
      </c>
      <c r="G167" s="37" t="str">
        <f>VLOOKUP($A167,'Institution Evaluation'!$A$56:$K$346,7,0)&amp;""</f>
        <v>Yes</v>
      </c>
      <c r="H167" s="192" t="str">
        <f>VLOOKUP($A167,'Institution Evaluation'!$A$56:$K$346,8,0)&amp;""</f>
        <v/>
      </c>
      <c r="I167" s="52" t="str">
        <f>VLOOKUP($A167,'Institution Evaluation'!$A$56:$K$346,9,0)&amp;""</f>
        <v>Standard Importance</v>
      </c>
      <c r="J167" s="193" t="str">
        <f>VLOOKUP($A167,'Institution Evaluation'!$A$56:$K$346,10,0)&amp;""</f>
        <v/>
      </c>
      <c r="K167" s="55" t="str">
        <f>IF(VLOOKUP($A167,'Institution Evaluation'!$A$56:$K$346,10,0)=TRUE,"Yes","")</f>
        <v/>
      </c>
    </row>
    <row r="168" spans="1:11" ht="54" x14ac:dyDescent="0.3">
      <c r="A168" s="25" t="s">
        <v>261</v>
      </c>
      <c r="B168" s="24" t="str">
        <f>VLOOKUP($A168,Questions!$A$2:$X$333,2,0)</f>
        <v>Do you allow the customer to specify attribute mappings for any needed information beyond a user identifier? (e.g., Reference eduPerson, ePPA/ePPN/ePE)</v>
      </c>
      <c r="C168" s="52" t="str">
        <f>VLOOKUP($A168,'Institution Evaluation'!$A$56:$K$346,3,0)&amp;""</f>
        <v>Yes</v>
      </c>
      <c r="D168" s="52" t="str">
        <f>VLOOKUP($A168,'Institution Evaluation'!$A$56:$K$346,4,0)&amp;""</f>
        <v/>
      </c>
      <c r="E168" s="351" t="str">
        <f>VLOOKUP($A168,'Institution Evaluation'!$A$56:$K$346,5,0)&amp;""</f>
        <v/>
      </c>
      <c r="F168" s="195" t="str">
        <f>VLOOKUP($A168,'Institution Evaluation'!$A$56:$K$346,6,0)&amp;""</f>
        <v/>
      </c>
      <c r="G168" s="37" t="str">
        <f>VLOOKUP($A168,'Institution Evaluation'!$A$56:$K$346,7,0)&amp;""</f>
        <v>Yes</v>
      </c>
      <c r="H168" s="192" t="str">
        <f>VLOOKUP($A168,'Institution Evaluation'!$A$56:$K$346,8,0)&amp;""</f>
        <v/>
      </c>
      <c r="I168" s="52" t="str">
        <f>VLOOKUP($A168,'Institution Evaluation'!$A$56:$K$346,9,0)&amp;""</f>
        <v>Standard Importance</v>
      </c>
      <c r="J168" s="193" t="str">
        <f>VLOOKUP($A168,'Institution Evaluation'!$A$56:$K$346,10,0)&amp;""</f>
        <v/>
      </c>
      <c r="K168" s="55" t="str">
        <f>IF(VLOOKUP($A168,'Institution Evaluation'!$A$56:$K$346,10,0)=TRUE,"Yes","")</f>
        <v/>
      </c>
    </row>
    <row r="169" spans="1:11" ht="195" x14ac:dyDescent="0.3">
      <c r="A169" s="25" t="s">
        <v>274</v>
      </c>
      <c r="B169" s="24" t="str">
        <f>VLOOKUP($A169,Questions!$A$2:$X$333,2,0)</f>
        <v>For customers not using SSO, does your application and/or user frontend/portal support multifactor authentication (e.g., Duo, Google Authenticator, OTP, etc.)?</v>
      </c>
      <c r="C169" s="52" t="str">
        <f>VLOOKUP($A169,'Institution Evaluation'!$A$56:$K$346,3,0)&amp;""</f>
        <v>Yes</v>
      </c>
      <c r="D169" s="52" t="str">
        <f>VLOOKUP($A169,'Institution Evaluation'!$A$56:$K$346,4,0)&amp;""</f>
        <v>Cirrus Identity solutions will respect the multi-factor (MFA) capabilities of Identity providers outside the operational scope of Cirrus Identity, and will respect the signaling for multi-factor where possible (for example REFEDS MFA Context -- https://refeds.org/profile/mfa).</v>
      </c>
      <c r="E169" s="351" t="str">
        <f>VLOOKUP($A169,'Institution Evaluation'!$A$56:$K$346,5,0)&amp;""</f>
        <v>List all supported multifactor authentication methods, technologies, and/or solutions and provide a brief summary of each.</v>
      </c>
      <c r="F169" s="195" t="str">
        <f>VLOOKUP($A169,'Institution Evaluation'!$A$56:$K$346,6,0)&amp;""</f>
        <v/>
      </c>
      <c r="G169" s="37" t="str">
        <f>VLOOKUP($A169,'Institution Evaluation'!$A$56:$K$346,7,0)&amp;""</f>
        <v>Yes</v>
      </c>
      <c r="H169" s="192" t="str">
        <f>VLOOKUP($A169,'Institution Evaluation'!$A$56:$K$346,8,0)&amp;""</f>
        <v/>
      </c>
      <c r="I169" s="52" t="str">
        <f>VLOOKUP($A169,'Institution Evaluation'!$A$56:$K$346,9,0)&amp;""</f>
        <v>Minor Importance</v>
      </c>
      <c r="J169" s="193" t="str">
        <f>VLOOKUP($A169,'Institution Evaluation'!$A$56:$K$346,10,0)&amp;""</f>
        <v/>
      </c>
      <c r="K169" s="55" t="str">
        <f>IF(VLOOKUP($A169,'Institution Evaluation'!$A$56:$K$346,10,0)=TRUE,"Yes","")</f>
        <v/>
      </c>
    </row>
    <row r="170" spans="1:11" s="1" customFormat="1" ht="17.5" x14ac:dyDescent="0.25">
      <c r="A170" s="70" t="str">
        <f>VLOOKUP(LEFT($A171,4),'Auto Responses'!$N$4:$O$38,2,0)&amp;""</f>
        <v xml:space="preserve"> Change Management</v>
      </c>
      <c r="B170" s="29"/>
      <c r="C170" s="38"/>
      <c r="D170" s="38"/>
      <c r="E170" s="352"/>
      <c r="F170" s="139" t="s">
        <v>1089</v>
      </c>
      <c r="G170" s="359" t="s">
        <v>925</v>
      </c>
      <c r="H170" s="359" t="s">
        <v>927</v>
      </c>
      <c r="I170" s="359" t="s">
        <v>19</v>
      </c>
      <c r="J170" s="359" t="s">
        <v>912</v>
      </c>
      <c r="K170" s="38"/>
    </row>
    <row r="171" spans="1:11" ht="240" x14ac:dyDescent="0.3">
      <c r="A171" s="25" t="s">
        <v>280</v>
      </c>
      <c r="B171" s="24" t="str">
        <f>VLOOKUP($A171,Questions!$A$2:$X$333,2,0)</f>
        <v>Will the institution be notified of major changes to your environment that could impact the institution's security posture?*</v>
      </c>
      <c r="C171" s="52" t="str">
        <f>VLOOKUP($A171,'Institution Evaluation'!$A$56:$K$346,3,0)&amp;""</f>
        <v>Yes</v>
      </c>
      <c r="D171" s="52" t="str">
        <f>VLOOKUP($A171,'Institution Evaluation'!$A$56:$K$346,4,0)&amp;""</f>
        <v>Cirrus Identity assesses the impact of major changes on the services delivered. If the assessment indicates the security posture changes from what has been specified to customers, a communication will be sent to the operational contacts for each customer. This communication will take place as stipulated by contract.</v>
      </c>
      <c r="E171" s="351" t="str">
        <f>VLOOKUP($A171,'Institution Evaluation'!$A$56:$K$346,5,0)&amp;""</f>
        <v>State how and when the institution will be notified of major changes to your environment.</v>
      </c>
      <c r="F171" s="195" t="str">
        <f>VLOOKUP($A171,'Institution Evaluation'!$A$56:$K$346,6,0)&amp;""</f>
        <v/>
      </c>
      <c r="G171" s="37" t="str">
        <f>VLOOKUP($A171,'Institution Evaluation'!$A$56:$K$346,7,0)&amp;""</f>
        <v>Yes</v>
      </c>
      <c r="H171" s="192" t="str">
        <f>VLOOKUP($A171,'Institution Evaluation'!$A$56:$K$346,8,0)&amp;""</f>
        <v/>
      </c>
      <c r="I171" s="52" t="str">
        <f>VLOOKUP($A171,'Institution Evaluation'!$A$56:$K$346,9,0)&amp;""</f>
        <v>Critical Importance</v>
      </c>
      <c r="J171" s="193" t="str">
        <f>VLOOKUP($A171,'Institution Evaluation'!$A$56:$K$346,10,0)&amp;""</f>
        <v/>
      </c>
      <c r="K171" s="55" t="str">
        <f>IF(VLOOKUP($A171,'Institution Evaluation'!$A$56:$K$346,10,0)=TRUE,"Yes","")</f>
        <v/>
      </c>
    </row>
    <row r="172" spans="1:11" ht="405" x14ac:dyDescent="0.3">
      <c r="A172" s="25" t="s">
        <v>285</v>
      </c>
      <c r="B172" s="24" t="str">
        <f>VLOOKUP($A172,Questions!$A$2:$X$333,2,0)</f>
        <v>Does the system support client customizations from one release to another?*</v>
      </c>
      <c r="C172" s="52" t="str">
        <f>VLOOKUP($A172,'Institution Evaluation'!$A$56:$K$346,3,0)&amp;""</f>
        <v>Yes</v>
      </c>
      <c r="D172" s="52" t="str">
        <f>VLOOKUP($A172,'Institution Evaluation'!$A$56:$K$346,4,0)&amp;""</f>
        <v>In limited cases, Cirrus Identity will support custom configuration for individual customers -- usually implemented with a professional services agreement. Any custom functionality is implemented in the production code base and incorporated in our general CI/CD workflow so the custom functionality is maintained with any subsequent changes to services. Separate support, compliance, and accessibility conditions may apply to custom configuration; and would be reflected in the individual customer's subscription.</v>
      </c>
      <c r="E172" s="351" t="str">
        <f>VLOOKUP($A172,'Institution Evaluation'!$A$56:$K$346,5,0)&amp;""</f>
        <v>Describe or provide reference to your solution support strategy in regard to maintaining client customizations from one release to another.</v>
      </c>
      <c r="F172" s="195" t="str">
        <f>VLOOKUP($A172,'Institution Evaluation'!$A$56:$K$346,6,0)&amp;""</f>
        <v/>
      </c>
      <c r="G172" s="37" t="str">
        <f>VLOOKUP($A172,'Institution Evaluation'!$A$56:$K$346,7,0)&amp;""</f>
        <v>Yes</v>
      </c>
      <c r="H172" s="192" t="str">
        <f>VLOOKUP($A172,'Institution Evaluation'!$A$56:$K$346,8,0)&amp;""</f>
        <v/>
      </c>
      <c r="I172" s="52" t="str">
        <f>VLOOKUP($A172,'Institution Evaluation'!$A$56:$K$346,9,0)&amp;""</f>
        <v>Critical Importance</v>
      </c>
      <c r="J172" s="193" t="str">
        <f>VLOOKUP($A172,'Institution Evaluation'!$A$56:$K$346,10,0)&amp;""</f>
        <v/>
      </c>
      <c r="K172" s="55" t="str">
        <f>IF(VLOOKUP($A172,'Institution Evaluation'!$A$56:$K$346,10,0)=TRUE,"Yes","")</f>
        <v/>
      </c>
    </row>
    <row r="173" spans="1:11" s="1" customFormat="1" ht="17.5" x14ac:dyDescent="0.25">
      <c r="A173" s="70" t="str">
        <f>VLOOKUP(LEFT($A174,4),'Auto Responses'!$N$4:$O$38,2,0)&amp;""</f>
        <v xml:space="preserve"> Data</v>
      </c>
      <c r="B173" s="29"/>
      <c r="C173" s="38"/>
      <c r="D173" s="38"/>
      <c r="E173" s="352"/>
      <c r="F173" s="139" t="s">
        <v>1089</v>
      </c>
      <c r="G173" s="359" t="s">
        <v>925</v>
      </c>
      <c r="H173" s="359" t="s">
        <v>927</v>
      </c>
      <c r="I173" s="359" t="s">
        <v>19</v>
      </c>
      <c r="J173" s="359" t="s">
        <v>912</v>
      </c>
      <c r="K173" s="38"/>
    </row>
    <row r="174" spans="1:11" ht="330" x14ac:dyDescent="0.3">
      <c r="A174" s="25" t="s">
        <v>343</v>
      </c>
      <c r="B174" s="24" t="str">
        <f>VLOOKUP($A174,Questions!$A$2:$X$333,2,0)</f>
        <v>Is the storage of sensitive data encrypted using security protocols/algorithms (e.g., disk encryption, at-rest, files, and within a running database)?*</v>
      </c>
      <c r="C174" s="52" t="str">
        <f>VLOOKUP($A174,'Institution Evaluation'!$A$56:$K$346,3,0)&amp;""</f>
        <v>Yes</v>
      </c>
      <c r="D174" s="52" t="str">
        <f>VLOOKUP($A174,'Institution Evaluation'!$A$56:$K$346,4,0)&amp;""</f>
        <v>Data is encrypted at rest with KMS (Amazon’s key management service). Allowing AWS to manage the keys improves segregation of duties. EC2 volumes and RDS (the database) are encrypted at rest. Some data is also encrypted using envelope encryption (for example SAML keys). The master key for envelope security is region specific and managed by KMS, while the KMS generated data key is used cross-region.</v>
      </c>
      <c r="E174" s="351" t="str">
        <f>VLOOKUP($A174,'Institution Evaluation'!$A$56:$K$346,5,0)&amp;""</f>
        <v>Summarize your data encryption strategy and state what encryption options are available.</v>
      </c>
      <c r="F174" s="195" t="str">
        <f>VLOOKUP($A174,'Institution Evaluation'!$A$56:$K$346,6,0)&amp;""</f>
        <v/>
      </c>
      <c r="G174" s="37" t="str">
        <f>VLOOKUP($A174,'Institution Evaluation'!$A$56:$K$346,7,0)&amp;""</f>
        <v>Yes</v>
      </c>
      <c r="H174" s="192" t="str">
        <f>VLOOKUP($A174,'Institution Evaluation'!$A$56:$K$346,8,0)&amp;""</f>
        <v/>
      </c>
      <c r="I174" s="52" t="str">
        <f>VLOOKUP($A174,'Institution Evaluation'!$A$56:$K$346,9,0)&amp;""</f>
        <v>Critical Importance</v>
      </c>
      <c r="J174" s="193" t="str">
        <f>VLOOKUP($A174,'Institution Evaluation'!$A$56:$K$346,10,0)&amp;""</f>
        <v/>
      </c>
      <c r="K174" s="55" t="str">
        <f>IF(VLOOKUP($A174,'Institution Evaluation'!$A$56:$K$346,10,0)=TRUE,"Yes","")</f>
        <v/>
      </c>
    </row>
    <row r="175" spans="1:11" ht="210" x14ac:dyDescent="0.3">
      <c r="A175" s="25" t="s">
        <v>347</v>
      </c>
      <c r="B175" s="24" t="str">
        <f>VLOOKUP($A175,Questions!$A$2:$X$333,2,0)</f>
        <v>Do all cryptographic modules in use in your solution conform to the Federal Information Processing Standards (FIPS PUB 140-2 or 140-3)?*</v>
      </c>
      <c r="C175" s="52" t="str">
        <f>VLOOKUP($A175,'Institution Evaluation'!$A$56:$K$346,3,0)&amp;""</f>
        <v>No</v>
      </c>
      <c r="D175" s="52" t="str">
        <f>VLOOKUP($A175,'Institution Evaluation'!$A$56:$K$346,4,0)&amp;""</f>
        <v>The current Bouncy Castle Java API and xmlseclib versions uses FIPS approved algorithms but is not validated to FIPS PUB 140-3. Cirrus Identity also does not currently utilize FIPS validated AWS endpoints or services. See https://aws.amazon.com/compliance/fips/ for details.</v>
      </c>
      <c r="E175" s="351" t="str">
        <f>VLOOKUP($A175,'Institution Evaluation'!$A$56:$K$346,5,0)&amp;""</f>
        <v>Provide a detailed description of all non-conforming modules.</v>
      </c>
      <c r="F175" s="195" t="str">
        <f>VLOOKUP($A175,'Institution Evaluation'!$A$56:$K$346,6,0)&amp;""</f>
        <v/>
      </c>
      <c r="G175" s="37" t="str">
        <f>VLOOKUP($A175,'Institution Evaluation'!$A$56:$K$346,7,0)&amp;""</f>
        <v>Yes</v>
      </c>
      <c r="H175" s="192" t="str">
        <f>VLOOKUP($A175,'Institution Evaluation'!$A$56:$K$346,8,0)&amp;""</f>
        <v/>
      </c>
      <c r="I175" s="52" t="str">
        <f>VLOOKUP($A175,'Institution Evaluation'!$A$56:$K$346,9,0)&amp;""</f>
        <v>Critical Importance</v>
      </c>
      <c r="J175" s="193" t="str">
        <f>VLOOKUP($A175,'Institution Evaluation'!$A$56:$K$346,10,0)&amp;""</f>
        <v/>
      </c>
      <c r="K175" s="55" t="str">
        <f>IF(VLOOKUP($A175,'Institution Evaluation'!$A$56:$K$346,10,0)=TRUE,"Yes","")</f>
        <v/>
      </c>
    </row>
    <row r="176" spans="1:11" ht="210" x14ac:dyDescent="0.3">
      <c r="A176" s="25" t="s">
        <v>355</v>
      </c>
      <c r="B176" s="24" t="str">
        <f>VLOOKUP($A176,Questions!$A$2:$X$333,2,0)</f>
        <v>Are these rights retained even through a provider acquisition or bankruptcy event?*</v>
      </c>
      <c r="C176" s="52" t="str">
        <f>VLOOKUP($A176,'Institution Evaluation'!$A$56:$K$346,3,0)&amp;""</f>
        <v>Yes</v>
      </c>
      <c r="D176" s="52" t="str">
        <f>VLOOKUP($A176,'Institution Evaluation'!$A$56:$K$346,4,0)&amp;""</f>
        <v>Unless altered by contract, default Cirrus Identity master terms contract language maintains customer rights provided Cirrus Identity may assign the entire master terms agreement without customer consent in connection with a merger, acquisition, corporate reorganization, or sale.</v>
      </c>
      <c r="E176" s="351" t="str">
        <f>VLOOKUP($A176,'Institution Evaluation'!$A$56:$K$346,5,0)&amp;""</f>
        <v>Provide references, as needed.</v>
      </c>
      <c r="F176" s="195" t="str">
        <f>VLOOKUP($A176,'Institution Evaluation'!$A$56:$K$346,6,0)&amp;""</f>
        <v/>
      </c>
      <c r="G176" s="37" t="str">
        <f>VLOOKUP($A176,'Institution Evaluation'!$A$56:$K$346,7,0)&amp;""</f>
        <v>Yes</v>
      </c>
      <c r="H176" s="192" t="str">
        <f>VLOOKUP($A176,'Institution Evaluation'!$A$56:$K$346,8,0)&amp;""</f>
        <v/>
      </c>
      <c r="I176" s="52" t="str">
        <f>VLOOKUP($A176,'Institution Evaluation'!$A$56:$K$346,9,0)&amp;""</f>
        <v>Critical Importance</v>
      </c>
      <c r="J176" s="193" t="str">
        <f>VLOOKUP($A176,'Institution Evaluation'!$A$56:$K$346,10,0)&amp;""</f>
        <v/>
      </c>
      <c r="K176" s="55" t="str">
        <f>IF(VLOOKUP($A176,'Institution Evaluation'!$A$56:$K$346,10,0)=TRUE,"Yes","")</f>
        <v/>
      </c>
    </row>
    <row r="177" spans="1:11" ht="40.5" x14ac:dyDescent="0.3">
      <c r="A177" s="25" t="s">
        <v>357</v>
      </c>
      <c r="B177" s="24" t="str">
        <f>VLOOKUP($A177,Questions!$A$2:$X$333,2,0)</f>
        <v>Do backups containing the institution's data ever leave the institution's data zone either physically or via network routing?*</v>
      </c>
      <c r="C177" s="52" t="str">
        <f>VLOOKUP($A177,'Institution Evaluation'!$A$56:$K$346,3,0)&amp;""</f>
        <v>No</v>
      </c>
      <c r="D177" s="52" t="str">
        <f>VLOOKUP($A177,'Institution Evaluation'!$A$56:$K$346,4,0)&amp;""</f>
        <v/>
      </c>
      <c r="E177" s="351" t="str">
        <f>VLOOKUP($A177,'Institution Evaluation'!$A$56:$K$346,5,0)&amp;""</f>
        <v/>
      </c>
      <c r="F177" s="195" t="str">
        <f>VLOOKUP($A177,'Institution Evaluation'!$A$56:$K$346,6,0)&amp;""</f>
        <v/>
      </c>
      <c r="G177" s="37" t="str">
        <f>VLOOKUP($A177,'Institution Evaluation'!$A$56:$K$346,7,0)&amp;""</f>
        <v>No</v>
      </c>
      <c r="H177" s="192" t="str">
        <f>VLOOKUP($A177,'Institution Evaluation'!$A$56:$K$346,8,0)&amp;""</f>
        <v/>
      </c>
      <c r="I177" s="52" t="str">
        <f>VLOOKUP($A177,'Institution Evaluation'!$A$56:$K$346,9,0)&amp;""</f>
        <v>Critical Importance</v>
      </c>
      <c r="J177" s="193" t="str">
        <f>VLOOKUP($A177,'Institution Evaluation'!$A$56:$K$346,10,0)&amp;""</f>
        <v/>
      </c>
      <c r="K177" s="55" t="str">
        <f>IF(VLOOKUP($A177,'Institution Evaluation'!$A$56:$K$346,10,0)=TRUE,"Yes","")</f>
        <v/>
      </c>
    </row>
    <row r="178" spans="1:11" ht="195" x14ac:dyDescent="0.3">
      <c r="A178" s="25" t="s">
        <v>359</v>
      </c>
      <c r="B178" s="24" t="str">
        <f>VLOOKUP($A178,Questions!$A$2:$X$333,2,0)</f>
        <v>Is media used for long-term retention of business data and archival purposes stored in a secure, environmentally protected area?*</v>
      </c>
      <c r="C178" s="52" t="str">
        <f>VLOOKUP($A178,'Institution Evaluation'!$A$56:$K$346,3,0)&amp;""</f>
        <v>Yes</v>
      </c>
      <c r="D178" s="52" t="str">
        <f>VLOOKUP($A178,'Institution Evaluation'!$A$56:$K$346,4,0)&amp;""</f>
        <v>Cirrus Identity uses AWS Glacier for long terms storage of data, and relies on the datacenter controls implemented by AWS for security and environmental protection. See https://aws.amazon.com/compliance/data-center/controls/ for details.</v>
      </c>
      <c r="E178" s="351" t="str">
        <f>VLOOKUP($A178,'Institution Evaluation'!$A$56:$K$346,5,0)&amp;""</f>
        <v>Provide a general summary of your archival environment.</v>
      </c>
      <c r="F178" s="195" t="str">
        <f>VLOOKUP($A178,'Institution Evaluation'!$A$56:$K$346,6,0)&amp;""</f>
        <v/>
      </c>
      <c r="G178" s="37" t="str">
        <f>VLOOKUP($A178,'Institution Evaluation'!$A$56:$K$346,7,0)&amp;""</f>
        <v>Yes</v>
      </c>
      <c r="H178" s="192" t="str">
        <f>VLOOKUP($A178,'Institution Evaluation'!$A$56:$K$346,8,0)&amp;""</f>
        <v/>
      </c>
      <c r="I178" s="52" t="str">
        <f>VLOOKUP($A178,'Institution Evaluation'!$A$56:$K$346,9,0)&amp;""</f>
        <v>Critical Importance</v>
      </c>
      <c r="J178" s="193" t="str">
        <f>VLOOKUP($A178,'Institution Evaluation'!$A$56:$K$346,10,0)&amp;""</f>
        <v/>
      </c>
      <c r="K178" s="55" t="str">
        <f>IF(VLOOKUP($A178,'Institution Evaluation'!$A$56:$K$346,10,0)=TRUE,"Yes","")</f>
        <v/>
      </c>
    </row>
    <row r="179" spans="1:11" ht="270" x14ac:dyDescent="0.3">
      <c r="A179" s="25" t="s">
        <v>363</v>
      </c>
      <c r="B179" s="24" t="str">
        <f>VLOOKUP($A179,Questions!$A$2:$X$333,2,0)</f>
        <v>At the completion of this contract, will data be returned to the institution and/or deleted from all your systems and archives?</v>
      </c>
      <c r="C179" s="52" t="str">
        <f>VLOOKUP($A179,'Institution Evaluation'!$A$56:$K$346,3,0)&amp;""</f>
        <v>Yes</v>
      </c>
      <c r="D179" s="52" t="str">
        <f>VLOOKUP($A179,'Institution Evaluation'!$A$56:$K$346,4,0)&amp;""</f>
        <v>Default Cirrus Identity master terms contract language references the Cirrus Identity Privacy Policy (https://www.cirrusidentity.com/cirrus-trust-and-compliance) for data retention at the termination of a customer's contract. Unless altered by contract, customers have 30 days from contract termination to request return of data controlled by the customer.</v>
      </c>
      <c r="E179" s="351" t="str">
        <f>VLOOKUP($A179,'Institution Evaluation'!$A$56:$K$346,5,0)&amp;""</f>
        <v>State the length of time that the institution's data will be available in the system at the completion of the contract.</v>
      </c>
      <c r="F179" s="195" t="str">
        <f>VLOOKUP($A179,'Institution Evaluation'!$A$56:$K$346,6,0)&amp;""</f>
        <v/>
      </c>
      <c r="G179" s="37" t="str">
        <f>VLOOKUP($A179,'Institution Evaluation'!$A$56:$K$346,7,0)&amp;""</f>
        <v>Yes</v>
      </c>
      <c r="H179" s="192" t="str">
        <f>VLOOKUP($A179,'Institution Evaluation'!$A$56:$K$346,8,0)&amp;""</f>
        <v/>
      </c>
      <c r="I179" s="52" t="str">
        <f>VLOOKUP($A179,'Institution Evaluation'!$A$56:$K$346,9,0)&amp;""</f>
        <v>Standard Importance</v>
      </c>
      <c r="J179" s="193" t="str">
        <f>VLOOKUP($A179,'Institution Evaluation'!$A$56:$K$346,10,0)&amp;""</f>
        <v/>
      </c>
      <c r="K179" s="55" t="str">
        <f>IF(VLOOKUP($A179,'Institution Evaluation'!$A$56:$K$346,10,0)=TRUE,"Yes","")</f>
        <v/>
      </c>
    </row>
    <row r="180" spans="1:11" ht="105" x14ac:dyDescent="0.3">
      <c r="A180" s="25" t="s">
        <v>367</v>
      </c>
      <c r="B180" s="24" t="str">
        <f>VLOOKUP($A180,Questions!$A$2:$X$333,2,0)</f>
        <v>Can the institution extract a full or partial backup of data?</v>
      </c>
      <c r="C180" s="52" t="str">
        <f>VLOOKUP($A180,'Institution Evaluation'!$A$56:$K$346,3,0)&amp;""</f>
        <v>Yes</v>
      </c>
      <c r="D180" s="52" t="str">
        <f>VLOOKUP($A180,'Institution Evaluation'!$A$56:$K$346,4,0)&amp;""</f>
        <v xml:space="preserve">Customers may use Cirrus Identity APIs to extract data controlled by the Customer for the duration of the contract and up to 30 days after termination. </v>
      </c>
      <c r="E180" s="351" t="str">
        <f>VLOOKUP($A180,'Institution Evaluation'!$A$56:$K$346,5,0)&amp;""</f>
        <v>Provide a general summary of how full and partial backups of data can be extracted.</v>
      </c>
      <c r="F180" s="195" t="str">
        <f>VLOOKUP($A180,'Institution Evaluation'!$A$56:$K$346,6,0)&amp;""</f>
        <v/>
      </c>
      <c r="G180" s="37" t="str">
        <f>VLOOKUP($A180,'Institution Evaluation'!$A$56:$K$346,7,0)&amp;""</f>
        <v>Yes</v>
      </c>
      <c r="H180" s="192" t="str">
        <f>VLOOKUP($A180,'Institution Evaluation'!$A$56:$K$346,8,0)&amp;""</f>
        <v/>
      </c>
      <c r="I180" s="52" t="str">
        <f>VLOOKUP($A180,'Institution Evaluation'!$A$56:$K$346,9,0)&amp;""</f>
        <v>Standard Importance</v>
      </c>
      <c r="J180" s="193" t="str">
        <f>VLOOKUP($A180,'Institution Evaluation'!$A$56:$K$346,10,0)&amp;""</f>
        <v/>
      </c>
      <c r="K180" s="55" t="str">
        <f>IF(VLOOKUP($A180,'Institution Evaluation'!$A$56:$K$346,10,0)=TRUE,"Yes","")</f>
        <v/>
      </c>
    </row>
    <row r="181" spans="1:11" ht="210" x14ac:dyDescent="0.3">
      <c r="A181" s="25" t="s">
        <v>371</v>
      </c>
      <c r="B181" s="24" t="str">
        <f>VLOOKUP($A181,Questions!$A$2:$X$333,2,0)</f>
        <v>Do current backups include all operating system software, utilities, security software, application software, and data files necessary for recovery?</v>
      </c>
      <c r="C181" s="52" t="str">
        <f>VLOOKUP($A181,'Institution Evaluation'!$A$56:$K$346,3,0)&amp;""</f>
        <v>Yes</v>
      </c>
      <c r="D181" s="52" t="str">
        <f>VLOOKUP($A181,'Institution Evaluation'!$A$56:$K$346,4,0)&amp;""</f>
        <v>The CI/CD process used by Cirrus Identity enable the recreation of environments fit for purpose based on the database snapshot, AWS Simple Storage Service (S3), AWS Simple Systems Management (SSM), and the assets contained in the two Cirrus Identity code repositories.</v>
      </c>
      <c r="E181" s="351" t="str">
        <f>VLOOKUP($A181,'Institution Evaluation'!$A$56:$K$346,5,0)&amp;""</f>
        <v>Decribe your overall strategy to accomplish these elements.</v>
      </c>
      <c r="F181" s="195" t="str">
        <f>VLOOKUP($A181,'Institution Evaluation'!$A$56:$K$346,6,0)&amp;""</f>
        <v/>
      </c>
      <c r="G181" s="37" t="str">
        <f>VLOOKUP($A181,'Institution Evaluation'!$A$56:$K$346,7,0)&amp;""</f>
        <v>Yes</v>
      </c>
      <c r="H181" s="192" t="str">
        <f>VLOOKUP($A181,'Institution Evaluation'!$A$56:$K$346,8,0)&amp;""</f>
        <v/>
      </c>
      <c r="I181" s="52" t="str">
        <f>VLOOKUP($A181,'Institution Evaluation'!$A$56:$K$346,9,0)&amp;""</f>
        <v>Standard Importance</v>
      </c>
      <c r="J181" s="193" t="str">
        <f>VLOOKUP($A181,'Institution Evaluation'!$A$56:$K$346,10,0)&amp;""</f>
        <v/>
      </c>
      <c r="K181" s="55" t="str">
        <f>IF(VLOOKUP($A181,'Institution Evaluation'!$A$56:$K$346,10,0)=TRUE,"Yes","")</f>
        <v/>
      </c>
    </row>
    <row r="182" spans="1:11" ht="90" x14ac:dyDescent="0.3">
      <c r="A182" s="25" t="s">
        <v>375</v>
      </c>
      <c r="B182" s="24" t="str">
        <f>VLOOKUP($A182,Questions!$A$2:$X$333,2,0)</f>
        <v>Are you performing off-site backups (i.e., digitally moved off site)?</v>
      </c>
      <c r="C182" s="52" t="str">
        <f>VLOOKUP($A182,'Institution Evaluation'!$A$56:$K$346,3,0)&amp;""</f>
        <v>Yes</v>
      </c>
      <c r="D182" s="52" t="str">
        <f>VLOOKUP($A182,'Institution Evaluation'!$A$56:$K$346,4,0)&amp;""</f>
        <v xml:space="preserve">Data backups are moved to a disaster recovery AWS region (DR) that is separate from the PROD systems. See DATA-07 </v>
      </c>
      <c r="E182" s="351" t="str">
        <f>VLOOKUP($A182,'Institution Evaluation'!$A$56:$K$346,5,0)&amp;""</f>
        <v>Summarize your off-site backup strategy.</v>
      </c>
      <c r="F182" s="195" t="str">
        <f>VLOOKUP($A182,'Institution Evaluation'!$A$56:$K$346,6,0)&amp;""</f>
        <v/>
      </c>
      <c r="G182" s="37" t="str">
        <f>VLOOKUP($A182,'Institution Evaluation'!$A$56:$K$346,7,0)&amp;""</f>
        <v>Yes</v>
      </c>
      <c r="H182" s="192" t="str">
        <f>VLOOKUP($A182,'Institution Evaluation'!$A$56:$K$346,8,0)&amp;""</f>
        <v/>
      </c>
      <c r="I182" s="52" t="str">
        <f>VLOOKUP($A182,'Institution Evaluation'!$A$56:$K$346,9,0)&amp;""</f>
        <v>Standard Importance</v>
      </c>
      <c r="J182" s="193" t="str">
        <f>VLOOKUP($A182,'Institution Evaluation'!$A$56:$K$346,10,0)&amp;""</f>
        <v/>
      </c>
      <c r="K182" s="55" t="str">
        <f>IF(VLOOKUP($A182,'Institution Evaluation'!$A$56:$K$346,10,0)=TRUE,"Yes","")</f>
        <v/>
      </c>
    </row>
    <row r="183" spans="1:11" ht="90" x14ac:dyDescent="0.3">
      <c r="A183" s="25" t="s">
        <v>381</v>
      </c>
      <c r="B183" s="24" t="str">
        <f>VLOOKUP($A183,Questions!$A$2:$X$333,2,0)</f>
        <v>Are physical backups taken off-site (i.e., physically moved off site)?</v>
      </c>
      <c r="C183" s="52" t="str">
        <f>VLOOKUP($A183,'Institution Evaluation'!$A$56:$K$346,3,0)&amp;""</f>
        <v>Yes</v>
      </c>
      <c r="D183" s="52" t="str">
        <f>VLOOKUP($A183,'Institution Evaluation'!$A$56:$K$346,4,0)&amp;""</f>
        <v>Cirrus Identity relies on the AWS Aurora native mechanisms for backup and any associated practices for physical backups</v>
      </c>
      <c r="E183" s="351" t="str">
        <f>VLOOKUP($A183,'Institution Evaluation'!$A$56:$K$346,5,0)&amp;""</f>
        <v>Provide the distance (in miles) between the primary and off-site locations.</v>
      </c>
      <c r="F183" s="195" t="str">
        <f>VLOOKUP($A183,'Institution Evaluation'!$A$56:$K$346,6,0)&amp;""</f>
        <v/>
      </c>
      <c r="G183" s="37" t="str">
        <f>VLOOKUP($A183,'Institution Evaluation'!$A$56:$K$346,7,0)&amp;""</f>
        <v>Yes</v>
      </c>
      <c r="H183" s="192" t="str">
        <f>VLOOKUP($A183,'Institution Evaluation'!$A$56:$K$346,8,0)&amp;""</f>
        <v/>
      </c>
      <c r="I183" s="52" t="str">
        <f>VLOOKUP($A183,'Institution Evaluation'!$A$56:$K$346,9,0)&amp;""</f>
        <v>Standard Importance</v>
      </c>
      <c r="J183" s="193" t="str">
        <f>VLOOKUP($A183,'Institution Evaluation'!$A$56:$K$346,10,0)&amp;""</f>
        <v/>
      </c>
      <c r="K183" s="55" t="str">
        <f>IF(VLOOKUP($A183,'Institution Evaluation'!$A$56:$K$346,10,0)=TRUE,"Yes","")</f>
        <v/>
      </c>
    </row>
    <row r="184" spans="1:11" ht="75" x14ac:dyDescent="0.3">
      <c r="A184" s="25" t="s">
        <v>386</v>
      </c>
      <c r="B184" s="24" t="str">
        <f>VLOOKUP($A184,Questions!$A$2:$X$333,2,0)</f>
        <v>Are data backups encrypted?</v>
      </c>
      <c r="C184" s="52" t="str">
        <f>VLOOKUP($A184,'Institution Evaluation'!$A$56:$K$346,3,0)&amp;""</f>
        <v>Yes</v>
      </c>
      <c r="D184" s="52" t="str">
        <f>VLOOKUP($A184,'Institution Evaluation'!$A$56:$K$346,4,0)&amp;""</f>
        <v>The AWS Aurora native mechanism is configured to use AES-256 for encryption.</v>
      </c>
      <c r="E184" s="351" t="str">
        <f>VLOOKUP($A184,'Institution Evaluation'!$A$56:$K$346,5,0)&amp;""</f>
        <v>Summarize the encryption algorithm/strategy you are using to secure backups.</v>
      </c>
      <c r="F184" s="195" t="str">
        <f>VLOOKUP($A184,'Institution Evaluation'!$A$56:$K$346,6,0)&amp;""</f>
        <v/>
      </c>
      <c r="G184" s="37" t="str">
        <f>VLOOKUP($A184,'Institution Evaluation'!$A$56:$K$346,7,0)&amp;""</f>
        <v>Yes</v>
      </c>
      <c r="H184" s="192" t="str">
        <f>VLOOKUP($A184,'Institution Evaluation'!$A$56:$K$346,8,0)&amp;""</f>
        <v/>
      </c>
      <c r="I184" s="52" t="str">
        <f>VLOOKUP($A184,'Institution Evaluation'!$A$56:$K$346,9,0)&amp;""</f>
        <v>Minor Importance</v>
      </c>
      <c r="J184" s="193" t="str">
        <f>VLOOKUP($A184,'Institution Evaluation'!$A$56:$K$346,10,0)&amp;""</f>
        <v/>
      </c>
      <c r="K184" s="55" t="str">
        <f>IF(VLOOKUP($A184,'Institution Evaluation'!$A$56:$K$346,10,0)=TRUE,"Yes","")</f>
        <v/>
      </c>
    </row>
    <row r="185" spans="1:11" ht="255" x14ac:dyDescent="0.3">
      <c r="A185" s="25" t="s">
        <v>387</v>
      </c>
      <c r="B185" s="24" t="str">
        <f>VLOOKUP($A185,Questions!$A$2:$X$333,2,0)</f>
        <v>Do you have a media handling process that is documented and currently implemented that meets established business needs and regulatory requirements, including end-of-life, repurposing, and data-sanitization procedures?</v>
      </c>
      <c r="C185" s="52" t="str">
        <f>VLOOKUP($A185,'Institution Evaluation'!$A$56:$K$346,3,0)&amp;""</f>
        <v>Yes</v>
      </c>
      <c r="D185" s="52" t="str">
        <f>VLOOKUP($A185,'Institution Evaluation'!$A$56:$K$346,4,0)&amp;""</f>
        <v>Customer data is confined to the Cirrus Identity AWS Virtual Private Cloud (VPC). When customer data is no longer needed, it is deleted. Cirrus Identity relies on the media handling process of AWS for end-of-life, repurposing, and data sanitization procedures. See https://d1.awsstatic.com/whitepapers/compliance/AWS_SOC3.pdf for details.</v>
      </c>
      <c r="E185" s="351" t="str">
        <f>VLOOKUP($A185,'Institution Evaluation'!$A$56:$K$346,5,0)&amp;""</f>
        <v>Provide documented details of this process (link or attached).</v>
      </c>
      <c r="F185" s="195" t="str">
        <f>VLOOKUP($A185,'Institution Evaluation'!$A$56:$K$346,6,0)&amp;""</f>
        <v/>
      </c>
      <c r="G185" s="37" t="str">
        <f>VLOOKUP($A185,'Institution Evaluation'!$A$56:$K$346,7,0)&amp;""</f>
        <v>Yes</v>
      </c>
      <c r="H185" s="192" t="str">
        <f>VLOOKUP($A185,'Institution Evaluation'!$A$56:$K$346,8,0)&amp;""</f>
        <v/>
      </c>
      <c r="I185" s="52" t="str">
        <f>VLOOKUP($A185,'Institution Evaluation'!$A$56:$K$346,9,0)&amp;""</f>
        <v>Standard Importance</v>
      </c>
      <c r="J185" s="193" t="str">
        <f>VLOOKUP($A185,'Institution Evaluation'!$A$56:$K$346,10,0)&amp;""</f>
        <v/>
      </c>
      <c r="K185" s="55" t="str">
        <f>IF(VLOOKUP($A185,'Institution Evaluation'!$A$56:$K$346,10,0)=TRUE,"Yes","")</f>
        <v/>
      </c>
    </row>
    <row r="186" spans="1:11" ht="240" x14ac:dyDescent="0.3">
      <c r="A186" s="25" t="s">
        <v>393</v>
      </c>
      <c r="B186" s="24" t="str">
        <f>VLOOKUP($A186,Questions!$A$2:$X$333,2,0)</f>
        <v>Does your staff (or third party) have access to institutional data (e.g., financial, PHI, or other sensitive information) through any means?</v>
      </c>
      <c r="C186" s="52" t="str">
        <f>VLOOKUP($A186,'Institution Evaluation'!$A$56:$K$346,3,0)&amp;""</f>
        <v>Yes</v>
      </c>
      <c r="D186" s="52" t="str">
        <f>VLOOKUP($A186,'Institution Evaluation'!$A$56:$K$346,4,0)&amp;""</f>
        <v>Cirrus Identity staff that has an operational need, have access to the same data that customer staff with administrative authorization in the Cirrus Administrative console have access to. Certain third parties have access to institutional data by the fact Cirrus Identity runs services on third-party infrastructure (such as AWS).</v>
      </c>
      <c r="E186" s="351" t="str">
        <f>VLOOKUP($A186,'Institution Evaluation'!$A$56:$K$346,5,0)&amp;""</f>
        <v>Summarize what access staff (or third parties) have to institutional data.</v>
      </c>
      <c r="F186" s="195" t="str">
        <f>VLOOKUP($A186,'Institution Evaluation'!$A$56:$K$346,6,0)&amp;""</f>
        <v/>
      </c>
      <c r="G186" s="37" t="str">
        <f>VLOOKUP($A186,'Institution Evaluation'!$A$56:$K$346,7,0)&amp;""</f>
        <v>Yes</v>
      </c>
      <c r="H186" s="192" t="str">
        <f>VLOOKUP($A186,'Institution Evaluation'!$A$56:$K$346,8,0)&amp;""</f>
        <v/>
      </c>
      <c r="I186" s="52" t="str">
        <f>VLOOKUP($A186,'Institution Evaluation'!$A$56:$K$346,9,0)&amp;""</f>
        <v>Standard Importance</v>
      </c>
      <c r="J186" s="193" t="str">
        <f>VLOOKUP($A186,'Institution Evaluation'!$A$56:$K$346,10,0)&amp;""</f>
        <v/>
      </c>
      <c r="K186" s="55" t="str">
        <f>IF(VLOOKUP($A186,'Institution Evaluation'!$A$56:$K$346,10,0)=TRUE,"Yes","")</f>
        <v/>
      </c>
    </row>
    <row r="187" spans="1:11" ht="105" x14ac:dyDescent="0.3">
      <c r="A187" s="25" t="s">
        <v>412</v>
      </c>
      <c r="B187" s="24" t="str">
        <f>VLOOKUP($A187,Questions!$A$2:$X$333,2,0)</f>
        <v>Are involatile backup copies made according to predefined schedules and securely stored and protected?</v>
      </c>
      <c r="C187" s="52" t="str">
        <f>VLOOKUP($A187,'Institution Evaluation'!$A$56:$K$346,3,0)&amp;""</f>
        <v>Yes</v>
      </c>
      <c r="D187" s="52" t="str">
        <f>VLOOKUP($A187,'Institution Evaluation'!$A$56:$K$346,4,0)&amp;""</f>
        <v>Cirrus Identity uses AWS Aurora Automated Backup for recurring and durable backup over a period of seven (7) calendar days.</v>
      </c>
      <c r="E187" s="351" t="str">
        <f>VLOOKUP($A187,'Institution Evaluation'!$A$56:$K$346,5,0)&amp;""</f>
        <v>If your strategy uses different processes for services and data, ensure that all strategies are clearly stated and supported.</v>
      </c>
      <c r="F187" s="195" t="str">
        <f>VLOOKUP($A187,'Institution Evaluation'!$A$56:$K$346,6,0)&amp;""</f>
        <v/>
      </c>
      <c r="G187" s="37" t="str">
        <f>VLOOKUP($A187,'Institution Evaluation'!$A$56:$K$346,7,0)&amp;""</f>
        <v>Yes</v>
      </c>
      <c r="H187" s="192" t="str">
        <f>VLOOKUP($A187,'Institution Evaluation'!$A$56:$K$346,8,0)&amp;""</f>
        <v/>
      </c>
      <c r="I187" s="52" t="str">
        <f>VLOOKUP($A187,'Institution Evaluation'!$A$56:$K$346,9,0)&amp;""</f>
        <v>Minor Importance</v>
      </c>
      <c r="J187" s="193" t="str">
        <f>VLOOKUP($A187,'Institution Evaluation'!$A$56:$K$346,10,0)&amp;""</f>
        <v/>
      </c>
      <c r="K187" s="55" t="str">
        <f>IF(VLOOKUP($A187,'Institution Evaluation'!$A$56:$K$346,10,0)=TRUE,"Yes","")</f>
        <v/>
      </c>
    </row>
    <row r="188" spans="1:11" ht="67.5" x14ac:dyDescent="0.3">
      <c r="A188" s="25" t="s">
        <v>416</v>
      </c>
      <c r="B188" s="24" t="str">
        <f>VLOOKUP($A188,Questions!$A$2:$X$333,2,0)</f>
        <v>Do you have a cryptographic key management process (generation, exchange, storage, safeguards, use, vetting, and replacement) that is documented and currently implemented, for all system components (e.g., database, system, web, etc.)?</v>
      </c>
      <c r="C188" s="52" t="str">
        <f>VLOOKUP($A188,'Institution Evaluation'!$A$56:$K$346,3,0)&amp;""</f>
        <v>Yes</v>
      </c>
      <c r="D188" s="52" t="str">
        <f>VLOOKUP($A188,'Institution Evaluation'!$A$56:$K$346,4,0)&amp;""</f>
        <v/>
      </c>
      <c r="E188" s="351" t="str">
        <f>VLOOKUP($A188,'Institution Evaluation'!$A$56:$K$346,5,0)&amp;""</f>
        <v/>
      </c>
      <c r="F188" s="195" t="str">
        <f>VLOOKUP($A188,'Institution Evaluation'!$A$56:$K$346,6,0)&amp;""</f>
        <v/>
      </c>
      <c r="G188" s="37" t="str">
        <f>VLOOKUP($A188,'Institution Evaluation'!$A$56:$K$346,7,0)&amp;""</f>
        <v>Yes</v>
      </c>
      <c r="H188" s="192" t="str">
        <f>VLOOKUP($A188,'Institution Evaluation'!$A$56:$K$346,8,0)&amp;""</f>
        <v/>
      </c>
      <c r="I188" s="52" t="str">
        <f>VLOOKUP($A188,'Institution Evaluation'!$A$56:$K$346,9,0)&amp;""</f>
        <v>Minor Importance</v>
      </c>
      <c r="J188" s="193" t="str">
        <f>VLOOKUP($A188,'Institution Evaluation'!$A$56:$K$346,10,0)&amp;""</f>
        <v/>
      </c>
      <c r="K188" s="55" t="str">
        <f>IF(VLOOKUP($A188,'Institution Evaluation'!$A$56:$K$346,10,0)=TRUE,"Yes","")</f>
        <v/>
      </c>
    </row>
    <row r="189" spans="1:11" s="1" customFormat="1" ht="17.5" x14ac:dyDescent="0.25">
      <c r="A189" s="70" t="str">
        <f>VLOOKUP(LEFT($A190,4),'Auto Responses'!$N$4:$O$38,2,0)&amp;""</f>
        <v xml:space="preserve"> Datacenter</v>
      </c>
      <c r="B189" s="29"/>
      <c r="C189" s="38"/>
      <c r="D189" s="38"/>
      <c r="E189" s="352"/>
      <c r="F189" s="139" t="s">
        <v>1089</v>
      </c>
      <c r="G189" s="359" t="s">
        <v>925</v>
      </c>
      <c r="H189" s="359" t="s">
        <v>927</v>
      </c>
      <c r="I189" s="359" t="s">
        <v>19</v>
      </c>
      <c r="J189" s="359" t="s">
        <v>912</v>
      </c>
      <c r="K189" s="38"/>
    </row>
    <row r="190" spans="1:11" ht="15" x14ac:dyDescent="0.3">
      <c r="A190" s="25" t="s">
        <v>421</v>
      </c>
      <c r="B190" s="24" t="str">
        <f>VLOOKUP($A190,Questions!$A$2:$X$333,2,0)</f>
        <v>Select your hosting option.</v>
      </c>
      <c r="C190" s="52" t="str">
        <f>VLOOKUP($A190,'Institution Evaluation'!$A$56:$K$346,3,0)&amp;""</f>
        <v>AWS</v>
      </c>
      <c r="D190" s="52" t="str">
        <f>VLOOKUP($A190,'Institution Evaluation'!$A$56:$K$346,4,0)&amp;""</f>
        <v/>
      </c>
      <c r="E190" s="351" t="str">
        <f>VLOOKUP($A190,'Institution Evaluation'!$A$56:$K$346,5,0)&amp;""</f>
        <v/>
      </c>
      <c r="F190" s="195" t="str">
        <f>VLOOKUP($A190,'Institution Evaluation'!$A$56:$K$346,6,0)&amp;""</f>
        <v/>
      </c>
      <c r="G190" s="37" t="str">
        <f>VLOOKUP($A190,'Institution Evaluation'!$A$56:$K$346,7,0)&amp;""</f>
        <v>Not scored</v>
      </c>
      <c r="H190" s="192" t="str">
        <f>VLOOKUP($A190,'Institution Evaluation'!$A$56:$K$346,8,0)&amp;""</f>
        <v/>
      </c>
      <c r="I190" s="52" t="str">
        <f>VLOOKUP($A190,'Institution Evaluation'!$A$56:$K$346,9,0)&amp;""</f>
        <v/>
      </c>
      <c r="J190" s="193" t="str">
        <f>VLOOKUP($A190,'Institution Evaluation'!$A$56:$K$346,10,0)&amp;""</f>
        <v/>
      </c>
      <c r="K190" s="55" t="str">
        <f>IF(VLOOKUP($A190,'Institution Evaluation'!$A$56:$K$346,10,0)=TRUE,"Yes","")</f>
        <v/>
      </c>
    </row>
    <row r="191" spans="1:11" ht="195" x14ac:dyDescent="0.3">
      <c r="A191" s="25" t="s">
        <v>428</v>
      </c>
      <c r="B191" s="24" t="str">
        <f>VLOOKUP($A191,Questions!$A$2:$X$333,2,0)</f>
        <v>Are you generally able to accommodate storing each institution's data within its geographic region?</v>
      </c>
      <c r="C191" s="52" t="str">
        <f>VLOOKUP($A191,'Institution Evaluation'!$A$56:$K$346,3,0)&amp;""</f>
        <v>No</v>
      </c>
      <c r="D191" s="52" t="str">
        <f>VLOOKUP($A191,'Institution Evaluation'!$A$56:$K$346,4,0)&amp;""</f>
        <v>Currently, Cirrus Identity stores all data in United States region. If there is sufficient customer need, Cirrus Identity is willing to consider hosting region specific implementations for some services to meet geographic storage compliance requirements.</v>
      </c>
      <c r="E191" s="351" t="str">
        <f>VLOOKUP($A191,'Institution Evaluation'!$A$56:$K$346,5,0)&amp;""</f>
        <v>Under what circumstances would institutional data leave a designated region or regions?</v>
      </c>
      <c r="F191" s="195" t="str">
        <f>VLOOKUP($A191,'Institution Evaluation'!$A$56:$K$346,6,0)&amp;""</f>
        <v/>
      </c>
      <c r="G191" s="37" t="str">
        <f>VLOOKUP($A191,'Institution Evaluation'!$A$56:$K$346,7,0)&amp;""</f>
        <v>Yes</v>
      </c>
      <c r="H191" s="192" t="str">
        <f>VLOOKUP($A191,'Institution Evaluation'!$A$56:$K$346,8,0)&amp;""</f>
        <v/>
      </c>
      <c r="I191" s="52" t="str">
        <f>VLOOKUP($A191,'Institution Evaluation'!$A$56:$K$346,9,0)&amp;""</f>
        <v>Standard Importance</v>
      </c>
      <c r="J191" s="193" t="str">
        <f>VLOOKUP($A191,'Institution Evaluation'!$A$56:$K$346,10,0)&amp;""</f>
        <v/>
      </c>
      <c r="K191" s="55" t="str">
        <f>IF(VLOOKUP($A191,'Institution Evaluation'!$A$56:$K$346,10,0)=TRUE,"Yes","")</f>
        <v/>
      </c>
    </row>
    <row r="192" spans="1:11" s="1" customFormat="1" ht="17.5" x14ac:dyDescent="0.25">
      <c r="A192" s="70" t="str">
        <f>VLOOKUP(LEFT($A193,4),'Auto Responses'!$N$4:$O$38,2,0)&amp;""</f>
        <v xml:space="preserve"> Firewalls, IDS, IPS, and Networking</v>
      </c>
      <c r="B192" s="29"/>
      <c r="C192" s="38"/>
      <c r="D192" s="38"/>
      <c r="E192" s="352"/>
      <c r="F192" s="139" t="s">
        <v>1089</v>
      </c>
      <c r="G192" s="359" t="s">
        <v>925</v>
      </c>
      <c r="H192" s="359" t="s">
        <v>927</v>
      </c>
      <c r="I192" s="359" t="s">
        <v>19</v>
      </c>
      <c r="J192" s="359" t="s">
        <v>912</v>
      </c>
      <c r="K192" s="38"/>
    </row>
    <row r="193" spans="1:11" ht="120" x14ac:dyDescent="0.3">
      <c r="A193" s="25" t="s">
        <v>476</v>
      </c>
      <c r="B193" s="24" t="str">
        <f>VLOOKUP($A193,Questions!$A$2:$X$333,2,0)</f>
        <v>Are you utilizing a stateful packet inspection (SPI) firewall?*</v>
      </c>
      <c r="C193" s="52" t="str">
        <f>VLOOKUP($A193,'Institution Evaluation'!$A$56:$K$346,3,0)&amp;""</f>
        <v>Yes</v>
      </c>
      <c r="D193" s="52" t="str">
        <f>VLOOKUP($A193,'Institution Evaluation'!$A$56:$K$346,4,0)&amp;""</f>
        <v xml:space="preserve">Access to Cirrus Identity internal systems is protected using AWS Virtual Private Cloud (VPC) access controls including the use of AWS Security Groups. </v>
      </c>
      <c r="E193" s="351" t="str">
        <f>VLOOKUP($A193,'Institution Evaluation'!$A$56:$K$346,5,0)&amp;""</f>
        <v>Describe the currently implemented SPI firewall.</v>
      </c>
      <c r="F193" s="195" t="str">
        <f>VLOOKUP($A193,'Institution Evaluation'!$A$56:$K$346,6,0)&amp;""</f>
        <v/>
      </c>
      <c r="G193" s="37" t="str">
        <f>VLOOKUP($A193,'Institution Evaluation'!$A$56:$K$346,7,0)&amp;""</f>
        <v>Yes</v>
      </c>
      <c r="H193" s="192" t="str">
        <f>VLOOKUP($A193,'Institution Evaluation'!$A$56:$K$346,8,0)&amp;""</f>
        <v/>
      </c>
      <c r="I193" s="52" t="str">
        <f>VLOOKUP($A193,'Institution Evaluation'!$A$56:$K$346,9,0)&amp;""</f>
        <v>Critical Importance</v>
      </c>
      <c r="J193" s="193" t="str">
        <f>VLOOKUP($A193,'Institution Evaluation'!$A$56:$K$346,10,0)&amp;""</f>
        <v/>
      </c>
      <c r="K193" s="55" t="str">
        <f>IF(VLOOKUP($A193,'Institution Evaluation'!$A$56:$K$346,10,0)=TRUE,"Yes","")</f>
        <v/>
      </c>
    </row>
    <row r="194" spans="1:11" ht="120" x14ac:dyDescent="0.3">
      <c r="A194" s="25" t="s">
        <v>479</v>
      </c>
      <c r="B194" s="24" t="str">
        <f>VLOOKUP($A194,Questions!$A$2:$X$333,2,0)</f>
        <v>Do you have a documented policy for firewall change requests?*</v>
      </c>
      <c r="C194" s="52" t="str">
        <f>VLOOKUP($A194,'Institution Evaluation'!$A$56:$K$346,3,0)&amp;""</f>
        <v>Yes</v>
      </c>
      <c r="D194" s="52" t="str">
        <f>VLOOKUP($A194,'Institution Evaluation'!$A$56:$K$346,4,0)&amp;""</f>
        <v>Firewall changes would be handled according to Cirrus Identity Change Management Policy and Procedure. Generally changes for network would be approved by CTO.</v>
      </c>
      <c r="E194" s="351" t="str">
        <f>VLOOKUP($A194,'Institution Evaluation'!$A$56:$K$346,5,0)&amp;""</f>
        <v>Describe your documented firewall change request policy.</v>
      </c>
      <c r="F194" s="195" t="str">
        <f>VLOOKUP($A194,'Institution Evaluation'!$A$56:$K$346,6,0)&amp;""</f>
        <v/>
      </c>
      <c r="G194" s="37" t="str">
        <f>VLOOKUP($A194,'Institution Evaluation'!$A$56:$K$346,7,0)&amp;""</f>
        <v>Yes</v>
      </c>
      <c r="H194" s="192" t="str">
        <f>VLOOKUP($A194,'Institution Evaluation'!$A$56:$K$346,8,0)&amp;""</f>
        <v/>
      </c>
      <c r="I194" s="52" t="str">
        <f>VLOOKUP($A194,'Institution Evaluation'!$A$56:$K$346,9,0)&amp;""</f>
        <v>Critical Importance</v>
      </c>
      <c r="J194" s="193" t="str">
        <f>VLOOKUP($A194,'Institution Evaluation'!$A$56:$K$346,10,0)&amp;""</f>
        <v/>
      </c>
      <c r="K194" s="55" t="str">
        <f>IF(VLOOKUP($A194,'Institution Evaluation'!$A$56:$K$346,10,0)=TRUE,"Yes","")</f>
        <v/>
      </c>
    </row>
    <row r="195" spans="1:11" ht="120" x14ac:dyDescent="0.3">
      <c r="A195" s="25" t="s">
        <v>484</v>
      </c>
      <c r="B195" s="24" t="str">
        <f>VLOOKUP($A195,Questions!$A$2:$X$333,2,0)</f>
        <v>Have you implemented an intrusion detection system (network-based)?*</v>
      </c>
      <c r="C195" s="52" t="str">
        <f>VLOOKUP($A195,'Institution Evaluation'!$A$56:$K$346,3,0)&amp;""</f>
        <v>Yes</v>
      </c>
      <c r="D195" s="52" t="str">
        <f>VLOOKUP($A195,'Institution Evaluation'!$A$56:$K$346,4,0)&amp;""</f>
        <v xml:space="preserve">A threat detection service (AWS GuardDuty) is used to continuously monitor the Cirrus Identity Virtual Private Cloud (VPC) for malicious or unauthorized behavior.  </v>
      </c>
      <c r="E195" s="351" t="str">
        <f>VLOOKUP($A195,'Institution Evaluation'!$A$56:$K$346,5,0)&amp;""</f>
        <v>Describe the currently implemented IDS.</v>
      </c>
      <c r="F195" s="195" t="str">
        <f>VLOOKUP($A195,'Institution Evaluation'!$A$56:$K$346,6,0)&amp;""</f>
        <v/>
      </c>
      <c r="G195" s="37" t="str">
        <f>VLOOKUP($A195,'Institution Evaluation'!$A$56:$K$346,7,0)&amp;""</f>
        <v>Yes</v>
      </c>
      <c r="H195" s="192" t="str">
        <f>VLOOKUP($A195,'Institution Evaluation'!$A$56:$K$346,8,0)&amp;""</f>
        <v/>
      </c>
      <c r="I195" s="52" t="str">
        <f>VLOOKUP($A195,'Institution Evaluation'!$A$56:$K$346,9,0)&amp;""</f>
        <v>Critical Importance</v>
      </c>
      <c r="J195" s="193" t="str">
        <f>VLOOKUP($A195,'Institution Evaluation'!$A$56:$K$346,10,0)&amp;""</f>
        <v/>
      </c>
      <c r="K195" s="55" t="str">
        <f>IF(VLOOKUP($A195,'Institution Evaluation'!$A$56:$K$346,10,0)=TRUE,"Yes","")</f>
        <v/>
      </c>
    </row>
    <row r="196" spans="1:11" ht="75" x14ac:dyDescent="0.3">
      <c r="A196" s="25" t="s">
        <v>489</v>
      </c>
      <c r="B196" s="24" t="str">
        <f>VLOOKUP($A196,Questions!$A$2:$X$333,2,0)</f>
        <v>Do you employ host-based intrusion detection?*</v>
      </c>
      <c r="C196" s="52" t="str">
        <f>VLOOKUP($A196,'Institution Evaluation'!$A$56:$K$346,3,0)&amp;""</f>
        <v>Yes</v>
      </c>
      <c r="D196" s="52" t="str">
        <f>VLOOKUP($A196,'Institution Evaluation'!$A$56:$K$346,4,0)&amp;""</f>
        <v xml:space="preserve">Host-based intrusion detection is configured for virtual servers to monitor for anomalous behavior. </v>
      </c>
      <c r="E196" s="351" t="str">
        <f>VLOOKUP($A196,'Institution Evaluation'!$A$56:$K$346,5,0)&amp;""</f>
        <v>Describe the currently implemented host-based IDS solution(s).</v>
      </c>
      <c r="F196" s="195" t="str">
        <f>VLOOKUP($A196,'Institution Evaluation'!$A$56:$K$346,6,0)&amp;""</f>
        <v/>
      </c>
      <c r="G196" s="37" t="str">
        <f>VLOOKUP($A196,'Institution Evaluation'!$A$56:$K$346,7,0)&amp;""</f>
        <v>Yes</v>
      </c>
      <c r="H196" s="192" t="str">
        <f>VLOOKUP($A196,'Institution Evaluation'!$A$56:$K$346,8,0)&amp;""</f>
        <v/>
      </c>
      <c r="I196" s="52" t="str">
        <f>VLOOKUP($A196,'Institution Evaluation'!$A$56:$K$346,9,0)&amp;""</f>
        <v>Critical Importance</v>
      </c>
      <c r="J196" s="193" t="str">
        <f>VLOOKUP($A196,'Institution Evaluation'!$A$56:$K$346,10,0)&amp;""</f>
        <v/>
      </c>
      <c r="K196" s="55" t="str">
        <f>IF(VLOOKUP($A196,'Institution Evaluation'!$A$56:$K$346,10,0)=TRUE,"Yes","")</f>
        <v/>
      </c>
    </row>
    <row r="197" spans="1:11" ht="75" x14ac:dyDescent="0.3">
      <c r="A197" s="25" t="s">
        <v>492</v>
      </c>
      <c r="B197" s="24" t="str">
        <f>VLOOKUP($A197,Questions!$A$2:$X$333,2,0)</f>
        <v>Are audit logs available for all changes to the network, firewall, IDS, and IPS systems?*</v>
      </c>
      <c r="C197" s="52" t="str">
        <f>VLOOKUP($A197,'Institution Evaluation'!$A$56:$K$346,3,0)&amp;""</f>
        <v>Yes</v>
      </c>
      <c r="D197" s="52" t="str">
        <f>VLOOKUP($A197,'Institution Evaluation'!$A$56:$K$346,4,0)&amp;""</f>
        <v>Cirrus Identity has enabled AWSCloudTrail and AWSConfig with logging in our environment.</v>
      </c>
      <c r="E197" s="351" t="str">
        <f>VLOOKUP($A197,'Institution Evaluation'!$A$56:$K$346,5,0)&amp;""</f>
        <v>Describe your current network systems logging strategy.</v>
      </c>
      <c r="F197" s="195" t="str">
        <f>VLOOKUP($A197,'Institution Evaluation'!$A$56:$K$346,6,0)&amp;""</f>
        <v/>
      </c>
      <c r="G197" s="37" t="str">
        <f>VLOOKUP($A197,'Institution Evaluation'!$A$56:$K$346,7,0)&amp;""</f>
        <v>Yes</v>
      </c>
      <c r="H197" s="192" t="str">
        <f>VLOOKUP($A197,'Institution Evaluation'!$A$56:$K$346,8,0)&amp;""</f>
        <v/>
      </c>
      <c r="I197" s="52" t="str">
        <f>VLOOKUP($A197,'Institution Evaluation'!$A$56:$K$346,9,0)&amp;""</f>
        <v>Critical Importance</v>
      </c>
      <c r="J197" s="193" t="str">
        <f>VLOOKUP($A197,'Institution Evaluation'!$A$56:$K$346,10,0)&amp;""</f>
        <v/>
      </c>
      <c r="K197" s="55" t="str">
        <f>IF(VLOOKUP($A197,'Institution Evaluation'!$A$56:$K$346,10,0)=TRUE,"Yes","")</f>
        <v/>
      </c>
    </row>
    <row r="198" spans="1:11" ht="30" x14ac:dyDescent="0.3">
      <c r="A198" s="25" t="s">
        <v>504</v>
      </c>
      <c r="B198" s="24" t="str">
        <f>VLOOKUP($A198,Questions!$A$2:$X$333,2,0)</f>
        <v>Are you employing any next-generation persistent threat (NGPT) monitoring?</v>
      </c>
      <c r="C198" s="52" t="str">
        <f>VLOOKUP($A198,'Institution Evaluation'!$A$56:$K$346,3,0)&amp;""</f>
        <v>Yes</v>
      </c>
      <c r="D198" s="52" t="str">
        <f>VLOOKUP($A198,'Institution Evaluation'!$A$56:$K$346,4,0)&amp;""</f>
        <v>See FIDP-03 for details.</v>
      </c>
      <c r="E198" s="351" t="str">
        <f>VLOOKUP($A198,'Institution Evaluation'!$A$56:$K$346,5,0)&amp;""</f>
        <v>Describe your NGPT monitoring strategy.</v>
      </c>
      <c r="F198" s="195" t="str">
        <f>VLOOKUP($A198,'Institution Evaluation'!$A$56:$K$346,6,0)&amp;""</f>
        <v/>
      </c>
      <c r="G198" s="37" t="str">
        <f>VLOOKUP($A198,'Institution Evaluation'!$A$56:$K$346,7,0)&amp;""</f>
        <v>Yes</v>
      </c>
      <c r="H198" s="192" t="str">
        <f>VLOOKUP($A198,'Institution Evaluation'!$A$56:$K$346,8,0)&amp;""</f>
        <v/>
      </c>
      <c r="I198" s="52" t="str">
        <f>VLOOKUP($A198,'Institution Evaluation'!$A$56:$K$346,9,0)&amp;""</f>
        <v>Standard Importance</v>
      </c>
      <c r="J198" s="193" t="str">
        <f>VLOOKUP($A198,'Institution Evaluation'!$A$56:$K$346,10,0)&amp;""</f>
        <v/>
      </c>
      <c r="K198" s="55" t="str">
        <f>IF(VLOOKUP($A198,'Institution Evaluation'!$A$56:$K$346,10,0)=TRUE,"Yes","")</f>
        <v/>
      </c>
    </row>
    <row r="199" spans="1:11" s="1" customFormat="1" ht="17.5" x14ac:dyDescent="0.25">
      <c r="A199" s="70" t="str">
        <f>VLOOKUP(LEFT($A200,4),'Auto Responses'!$N$4:$O$38,2,0)&amp;""</f>
        <v xml:space="preserve"> Policies, Processes, and Procedures</v>
      </c>
      <c r="B199" s="29"/>
      <c r="C199" s="38"/>
      <c r="D199" s="38"/>
      <c r="E199" s="352"/>
      <c r="F199" s="139" t="s">
        <v>1089</v>
      </c>
      <c r="G199" s="359" t="s">
        <v>925</v>
      </c>
      <c r="H199" s="359" t="s">
        <v>927</v>
      </c>
      <c r="I199" s="359" t="s">
        <v>19</v>
      </c>
      <c r="J199" s="359" t="s">
        <v>912</v>
      </c>
      <c r="K199" s="38"/>
    </row>
    <row r="200" spans="1:11" ht="27" x14ac:dyDescent="0.3">
      <c r="A200" s="25" t="s">
        <v>520</v>
      </c>
      <c r="B200" s="24" t="str">
        <f>VLOOKUP($A200,Questions!$A$2:$X$333,2,0)</f>
        <v>Is your company subject to the institution's geographic region's laws and regulations?*</v>
      </c>
      <c r="C200" s="52" t="str">
        <f>VLOOKUP($A200,'Institution Evaluation'!$A$56:$K$346,3,0)&amp;""</f>
        <v>Yes</v>
      </c>
      <c r="D200" s="52" t="str">
        <f>VLOOKUP($A200,'Institution Evaluation'!$A$56:$K$346,4,0)&amp;""</f>
        <v/>
      </c>
      <c r="E200" s="351" t="str">
        <f>VLOOKUP($A200,'Institution Evaluation'!$A$56:$K$346,5,0)&amp;""</f>
        <v/>
      </c>
      <c r="F200" s="195" t="str">
        <f>VLOOKUP($A200,'Institution Evaluation'!$A$56:$K$346,6,0)&amp;""</f>
        <v/>
      </c>
      <c r="G200" s="37" t="str">
        <f>VLOOKUP($A200,'Institution Evaluation'!$A$56:$K$346,7,0)&amp;""</f>
        <v>Yes</v>
      </c>
      <c r="H200" s="192" t="str">
        <f>VLOOKUP($A200,'Institution Evaluation'!$A$56:$K$346,8,0)&amp;""</f>
        <v/>
      </c>
      <c r="I200" s="52" t="str">
        <f>VLOOKUP($A200,'Institution Evaluation'!$A$56:$K$346,9,0)&amp;""</f>
        <v>Critical Importance</v>
      </c>
      <c r="J200" s="193" t="str">
        <f>VLOOKUP($A200,'Institution Evaluation'!$A$56:$K$346,10,0)&amp;""</f>
        <v/>
      </c>
      <c r="K200" s="55" t="str">
        <f>IF(VLOOKUP($A200,'Institution Evaluation'!$A$56:$K$346,10,0)=TRUE,"Yes","")</f>
        <v/>
      </c>
    </row>
    <row r="201" spans="1:11" ht="27" x14ac:dyDescent="0.3">
      <c r="A201" s="25" t="s">
        <v>524</v>
      </c>
      <c r="B201" s="24" t="str">
        <f>VLOOKUP($A201,Questions!$A$2:$X$333,2,0)</f>
        <v>Can you accommodate encryption requirements using open standards?</v>
      </c>
      <c r="C201" s="52" t="str">
        <f>VLOOKUP($A201,'Institution Evaluation'!$A$56:$K$346,3,0)&amp;""</f>
        <v>Yes</v>
      </c>
      <c r="D201" s="52" t="str">
        <f>VLOOKUP($A201,'Institution Evaluation'!$A$56:$K$346,4,0)&amp;""</f>
        <v/>
      </c>
      <c r="E201" s="351" t="str">
        <f>VLOOKUP($A201,'Institution Evaluation'!$A$56:$K$346,5,0)&amp;""</f>
        <v/>
      </c>
      <c r="F201" s="195" t="str">
        <f>VLOOKUP($A201,'Institution Evaluation'!$A$56:$K$346,6,0)&amp;""</f>
        <v/>
      </c>
      <c r="G201" s="37" t="str">
        <f>VLOOKUP($A201,'Institution Evaluation'!$A$56:$K$346,7,0)&amp;""</f>
        <v>Yes</v>
      </c>
      <c r="H201" s="192" t="str">
        <f>VLOOKUP($A201,'Institution Evaluation'!$A$56:$K$346,8,0)&amp;""</f>
        <v/>
      </c>
      <c r="I201" s="52" t="str">
        <f>VLOOKUP($A201,'Institution Evaluation'!$A$56:$K$346,9,0)&amp;""</f>
        <v>Standard Importance</v>
      </c>
      <c r="J201" s="193" t="str">
        <f>VLOOKUP($A201,'Institution Evaluation'!$A$56:$K$346,10,0)&amp;""</f>
        <v/>
      </c>
      <c r="K201" s="55" t="str">
        <f>IF(VLOOKUP($A201,'Institution Evaluation'!$A$56:$K$346,10,0)=TRUE,"Yes","")</f>
        <v/>
      </c>
    </row>
    <row r="202" spans="1:11" ht="150" x14ac:dyDescent="0.3">
      <c r="A202" s="25" t="s">
        <v>546</v>
      </c>
      <c r="B202" s="24" t="str">
        <f>VLOOKUP($A202,Questions!$A$2:$X$333,2,0)</f>
        <v>Will you comply with applicable breach notification laws?</v>
      </c>
      <c r="C202" s="52" t="str">
        <f>VLOOKUP($A202,'Institution Evaluation'!$A$56:$K$346,3,0)&amp;""</f>
        <v>Yes</v>
      </c>
      <c r="D202" s="52" t="str">
        <f>VLOOKUP($A202,'Institution Evaluation'!$A$56:$K$346,4,0)&amp;""</f>
        <v>Any compliance requirements for applicable breach notification laws must be captured by the contract process and reflected in the master terms governing the subscription for Cirrus Identity services.</v>
      </c>
      <c r="E202" s="351" t="str">
        <f>VLOOKUP($A202,'Institution Evaluation'!$A$56:$K$346,5,0)&amp;""</f>
        <v>State how quickly the institution will be notified of a data breach or security incident.</v>
      </c>
      <c r="F202" s="195" t="str">
        <f>VLOOKUP($A202,'Institution Evaluation'!$A$56:$K$346,6,0)&amp;""</f>
        <v/>
      </c>
      <c r="G202" s="37" t="str">
        <f>VLOOKUP($A202,'Institution Evaluation'!$A$56:$K$346,7,0)&amp;""</f>
        <v>Yes</v>
      </c>
      <c r="H202" s="192" t="str">
        <f>VLOOKUP($A202,'Institution Evaluation'!$A$56:$K$346,8,0)&amp;""</f>
        <v/>
      </c>
      <c r="I202" s="52" t="str">
        <f>VLOOKUP($A202,'Institution Evaluation'!$A$56:$K$346,9,0)&amp;""</f>
        <v>Minor Importance</v>
      </c>
      <c r="J202" s="193" t="str">
        <f>VLOOKUP($A202,'Institution Evaluation'!$A$56:$K$346,10,0)&amp;""</f>
        <v/>
      </c>
      <c r="K202" s="55" t="str">
        <f>IF(VLOOKUP($A202,'Institution Evaluation'!$A$56:$K$346,10,0)=TRUE,"Yes","")</f>
        <v/>
      </c>
    </row>
    <row r="203" spans="1:11" ht="105" x14ac:dyDescent="0.3">
      <c r="A203" s="25" t="s">
        <v>550</v>
      </c>
      <c r="B203" s="24" t="str">
        <f>VLOOKUP($A203,Questions!$A$2:$X$333,2,0)</f>
        <v>Do you have an information security awareness program?</v>
      </c>
      <c r="C203" s="52" t="str">
        <f>VLOOKUP($A203,'Institution Evaluation'!$A$56:$K$346,3,0)&amp;""</f>
        <v>Yes</v>
      </c>
      <c r="D203" s="52" t="str">
        <f>VLOOKUP($A203,'Institution Evaluation'!$A$56:$K$346,4,0)&amp;""</f>
        <v xml:space="preserve">
An information security awareness program is delivered by Cirrus Identity's compliance platform (Vanta) during onboarding.</v>
      </c>
      <c r="E203" s="351" t="str">
        <f>VLOOKUP($A203,'Institution Evaluation'!$A$56:$K$346,5,0)&amp;""</f>
        <v>Summarize your information security awareness program.</v>
      </c>
      <c r="F203" s="195" t="str">
        <f>VLOOKUP($A203,'Institution Evaluation'!$A$56:$K$346,6,0)&amp;""</f>
        <v/>
      </c>
      <c r="G203" s="37" t="str">
        <f>VLOOKUP($A203,'Institution Evaluation'!$A$56:$K$346,7,0)&amp;""</f>
        <v>Yes</v>
      </c>
      <c r="H203" s="192" t="str">
        <f>VLOOKUP($A203,'Institution Evaluation'!$A$56:$K$346,8,0)&amp;""</f>
        <v/>
      </c>
      <c r="I203" s="52" t="str">
        <f>VLOOKUP($A203,'Institution Evaluation'!$A$56:$K$346,9,0)&amp;""</f>
        <v>Minor Importance</v>
      </c>
      <c r="J203" s="193" t="str">
        <f>VLOOKUP($A203,'Institution Evaluation'!$A$56:$K$346,10,0)&amp;""</f>
        <v/>
      </c>
      <c r="K203" s="55" t="str">
        <f>IF(VLOOKUP($A203,'Institution Evaluation'!$A$56:$K$346,10,0)=TRUE,"Yes","")</f>
        <v/>
      </c>
    </row>
    <row r="204" spans="1:11" ht="120" x14ac:dyDescent="0.3">
      <c r="A204" s="25" t="s">
        <v>555</v>
      </c>
      <c r="B204" s="24" t="str">
        <f>VLOOKUP($A204,Questions!$A$2:$X$333,2,0)</f>
        <v>Is security awareness training mandatory for all employees?</v>
      </c>
      <c r="C204" s="52" t="str">
        <f>VLOOKUP($A204,'Institution Evaluation'!$A$56:$K$346,3,0)&amp;""</f>
        <v>Yes</v>
      </c>
      <c r="D204" s="52" t="str">
        <f>VLOOKUP($A204,'Institution Evaluation'!$A$56:$K$346,4,0)&amp;""</f>
        <v>Security awareness training is delivered by Cirrus Identity's compliance platform (Vanta) during new staff onboarding, and annually for all current staff.</v>
      </c>
      <c r="E204" s="351" t="str">
        <f>VLOOKUP($A204,'Institution Evaluation'!$A$56:$K$346,5,0)&amp;""</f>
        <v>Summarize your security awareness training content and state how frequently employees are required to undergo security awareness training.</v>
      </c>
      <c r="F204" s="195" t="str">
        <f>VLOOKUP($A204,'Institution Evaluation'!$A$56:$K$346,6,0)&amp;""</f>
        <v/>
      </c>
      <c r="G204" s="37" t="str">
        <f>VLOOKUP($A204,'Institution Evaluation'!$A$56:$K$346,7,0)&amp;""</f>
        <v>Yes</v>
      </c>
      <c r="H204" s="192" t="str">
        <f>VLOOKUP($A204,'Institution Evaluation'!$A$56:$K$346,8,0)&amp;""</f>
        <v/>
      </c>
      <c r="I204" s="52" t="str">
        <f>VLOOKUP($A204,'Institution Evaluation'!$A$56:$K$346,9,0)&amp;""</f>
        <v>Minor Importance</v>
      </c>
      <c r="J204" s="193" t="str">
        <f>VLOOKUP($A204,'Institution Evaluation'!$A$56:$K$346,10,0)&amp;""</f>
        <v/>
      </c>
      <c r="K204" s="55" t="str">
        <f>IF(VLOOKUP($A204,'Institution Evaluation'!$A$56:$K$346,10,0)=TRUE,"Yes","")</f>
        <v/>
      </c>
    </row>
    <row r="205" spans="1:11" ht="240" x14ac:dyDescent="0.3">
      <c r="A205" s="25" t="s">
        <v>563</v>
      </c>
      <c r="B205" s="24" t="str">
        <f>VLOOKUP($A205,Questions!$A$2:$X$333,2,0)</f>
        <v>Do you have documented, and currently implemented, internal audit processes and procedures?</v>
      </c>
      <c r="C205" s="52" t="str">
        <f>VLOOKUP($A205,'Institution Evaluation'!$A$56:$K$346,3,0)&amp;""</f>
        <v>Yes</v>
      </c>
      <c r="D205" s="52" t="str">
        <f>VLOOKUP($A205,'Institution Evaluation'!$A$56:$K$346,4,0)&amp;""</f>
        <v>Cirrus Identity has a documented Security Assessment Policy, has implemented a compliance management solution (Vanta), and has agreements with both a penetration testing firm (Rapid7) and an external audit firm (Prescient Assurance). The Cirrus Identity Security Assessment Policy is available upon request.</v>
      </c>
      <c r="E205" s="351" t="str">
        <f>VLOOKUP($A205,'Institution Evaluation'!$A$56:$K$346,5,0)&amp;""</f>
        <v>Summarize your internal audit processes and procedures.</v>
      </c>
      <c r="F205" s="195" t="str">
        <f>VLOOKUP($A205,'Institution Evaluation'!$A$56:$K$346,6,0)&amp;""</f>
        <v/>
      </c>
      <c r="G205" s="37" t="str">
        <f>VLOOKUP($A205,'Institution Evaluation'!$A$56:$K$346,7,0)&amp;""</f>
        <v>Yes</v>
      </c>
      <c r="H205" s="192" t="str">
        <f>VLOOKUP($A205,'Institution Evaluation'!$A$56:$K$346,8,0)&amp;""</f>
        <v/>
      </c>
      <c r="I205" s="52" t="str">
        <f>VLOOKUP($A205,'Institution Evaluation'!$A$56:$K$346,9,0)&amp;""</f>
        <v>Minor Importance</v>
      </c>
      <c r="J205" s="193" t="str">
        <f>VLOOKUP($A205,'Institution Evaluation'!$A$56:$K$346,10,0)&amp;""</f>
        <v/>
      </c>
      <c r="K205" s="55" t="str">
        <f>IF(VLOOKUP($A205,'Institution Evaluation'!$A$56:$K$346,10,0)=TRUE,"Yes","")</f>
        <v/>
      </c>
    </row>
    <row r="206" spans="1:11" ht="195" x14ac:dyDescent="0.3">
      <c r="A206" s="25" t="s">
        <v>568</v>
      </c>
      <c r="B206" s="24" t="str">
        <f>VLOOKUP($A206,Questions!$A$2:$X$333,2,0)</f>
        <v>Does your organization have physical security controls and policies in place?</v>
      </c>
      <c r="C206" s="52" t="str">
        <f>VLOOKUP($A206,'Institution Evaluation'!$A$56:$K$346,3,0)&amp;""</f>
        <v>Yes</v>
      </c>
      <c r="D206" s="52" t="str">
        <f>VLOOKUP($A206,'Institution Evaluation'!$A$56:$K$346,4,0)&amp;""</f>
        <v>Cirrus Identity is a virtual organization with staff working remote and services run from AWS. To the extent physical security controls are needed, they are addressed as part of the Cirrus Identity Information Security Policy, which is available upon request.</v>
      </c>
      <c r="E206" s="351" t="str">
        <f>VLOOKUP($A206,'Institution Evaluation'!$A$56:$K$346,5,0)&amp;""</f>
        <v>Provide a copy of your physical security controls and policies along with this document (link or attached).</v>
      </c>
      <c r="F206" s="195" t="str">
        <f>VLOOKUP($A206,'Institution Evaluation'!$A$56:$K$346,6,0)&amp;""</f>
        <v/>
      </c>
      <c r="G206" s="37" t="str">
        <f>VLOOKUP($A206,'Institution Evaluation'!$A$56:$K$346,7,0)&amp;""</f>
        <v>Yes</v>
      </c>
      <c r="H206" s="192" t="str">
        <f>VLOOKUP($A206,'Institution Evaluation'!$A$56:$K$346,8,0)&amp;""</f>
        <v/>
      </c>
      <c r="I206" s="52" t="str">
        <f>VLOOKUP($A206,'Institution Evaluation'!$A$56:$K$346,9,0)&amp;""</f>
        <v>Minor Importance</v>
      </c>
      <c r="J206" s="193" t="str">
        <f>VLOOKUP($A206,'Institution Evaluation'!$A$56:$K$346,10,0)&amp;""</f>
        <v/>
      </c>
      <c r="K206" s="55" t="str">
        <f>IF(VLOOKUP($A206,'Institution Evaluation'!$A$56:$K$346,10,0)=TRUE,"Yes","")</f>
        <v/>
      </c>
    </row>
    <row r="207" spans="1:11" s="1" customFormat="1" ht="17.5" x14ac:dyDescent="0.25">
      <c r="A207" s="70" t="str">
        <f>VLOOKUP(LEFT($A208,4),'Auto Responses'!$N$4:$O$38,2,0)&amp;""</f>
        <v xml:space="preserve"> Incident Handling</v>
      </c>
      <c r="B207" s="29"/>
      <c r="C207" s="38"/>
      <c r="D207" s="38"/>
      <c r="E207" s="352"/>
      <c r="F207" s="139" t="s">
        <v>1089</v>
      </c>
      <c r="G207" s="359" t="s">
        <v>925</v>
      </c>
      <c r="H207" s="359" t="s">
        <v>927</v>
      </c>
      <c r="I207" s="359" t="s">
        <v>19</v>
      </c>
      <c r="J207" s="359" t="s">
        <v>912</v>
      </c>
      <c r="K207" s="38"/>
    </row>
    <row r="208" spans="1:11" ht="409.5" x14ac:dyDescent="0.3">
      <c r="A208" s="25" t="s">
        <v>573</v>
      </c>
      <c r="B208" s="24" t="str">
        <f>VLOOKUP($A208,Questions!$A$2:$X$333,2,0)</f>
        <v>Do you have a formal incident response plan?</v>
      </c>
      <c r="C208" s="52" t="str">
        <f>VLOOKUP($A208,'Institution Evaluation'!$A$56:$K$346,3,0)&amp;""</f>
        <v>Yes</v>
      </c>
      <c r="D208" s="52" t="str">
        <f>VLOOKUP($A208,'Institution Evaluation'!$A$56:$K$346,4,0)&amp;""</f>
        <v xml:space="preserve">The Cirrus Identity Incident Response Procedure has the following high level steps:
1) Triage by Customer Success
2) Escalation by Customer Success to an Incident Coordinator
3) Resource Allocation by Incident Coordinator do identity appropriate technical resources
4) Response Coordination by Incident Coordinator to address the issue
5) Postmortem by Incident Coordinator to document the details, duration, and root cause
6) Close Out by Dir of Customer Success to perform final review and inform the Cirrus Identity Leadership Team of the outcome
The Cirrus Identity Incident Response Procedure is available upon request.
</v>
      </c>
      <c r="E208" s="351" t="str">
        <f>VLOOKUP($A208,'Institution Evaluation'!$A$56:$K$346,5,0)&amp;""</f>
        <v>Summarize or provide a link to your formal incident response plan.</v>
      </c>
      <c r="F208" s="195" t="str">
        <f>VLOOKUP($A208,'Institution Evaluation'!$A$56:$K$346,6,0)&amp;""</f>
        <v/>
      </c>
      <c r="G208" s="37" t="str">
        <f>VLOOKUP($A208,'Institution Evaluation'!$A$56:$K$346,7,0)&amp;""</f>
        <v>Yes</v>
      </c>
      <c r="H208" s="192" t="str">
        <f>VLOOKUP($A208,'Institution Evaluation'!$A$56:$K$346,8,0)&amp;""</f>
        <v/>
      </c>
      <c r="I208" s="52" t="str">
        <f>VLOOKUP($A208,'Institution Evaluation'!$A$56:$K$346,9,0)&amp;""</f>
        <v>Standard Importance</v>
      </c>
      <c r="J208" s="193" t="str">
        <f>VLOOKUP($A208,'Institution Evaluation'!$A$56:$K$346,10,0)&amp;""</f>
        <v/>
      </c>
      <c r="K208" s="55" t="str">
        <f>IF(VLOOKUP($A208,'Institution Evaluation'!$A$56:$K$346,10,0)=TRUE,"Yes","")</f>
        <v/>
      </c>
    </row>
    <row r="209" spans="1:11" ht="90" x14ac:dyDescent="0.3">
      <c r="A209" s="25" t="s">
        <v>577</v>
      </c>
      <c r="B209" s="24" t="str">
        <f>VLOOKUP($A209,Questions!$A$2:$X$333,2,0)</f>
        <v>Do you either have an internal incident response team or retain an external team?</v>
      </c>
      <c r="C209" s="52" t="str">
        <f>VLOOKUP($A209,'Institution Evaluation'!$A$56:$K$346,3,0)&amp;""</f>
        <v>Yes</v>
      </c>
      <c r="D209" s="52" t="str">
        <f>VLOOKUP($A209,'Institution Evaluation'!$A$56:$K$346,4,0)&amp;""</f>
        <v>Cirrus Identity has internal staff designated for incident response per the Cirrus Identity Incident Response Procedure.</v>
      </c>
      <c r="E209" s="351" t="str">
        <f>VLOOKUP($A209,'Institution Evaluation'!$A$56:$K$346,5,0)&amp;""</f>
        <v>Summarize your incident response and reporting processes.</v>
      </c>
      <c r="F209" s="195" t="str">
        <f>VLOOKUP($A209,'Institution Evaluation'!$A$56:$K$346,6,0)&amp;""</f>
        <v/>
      </c>
      <c r="G209" s="37" t="str">
        <f>VLOOKUP($A209,'Institution Evaluation'!$A$56:$K$346,7,0)&amp;""</f>
        <v>Yes</v>
      </c>
      <c r="H209" s="192" t="str">
        <f>VLOOKUP($A209,'Institution Evaluation'!$A$56:$K$346,8,0)&amp;""</f>
        <v/>
      </c>
      <c r="I209" s="52" t="str">
        <f>VLOOKUP($A209,'Institution Evaluation'!$A$56:$K$346,9,0)&amp;""</f>
        <v>Minor Importance</v>
      </c>
      <c r="J209" s="193" t="str">
        <f>VLOOKUP($A209,'Institution Evaluation'!$A$56:$K$346,10,0)&amp;""</f>
        <v/>
      </c>
      <c r="K209" s="55" t="str">
        <f>IF(VLOOKUP($A209,'Institution Evaluation'!$A$56:$K$346,10,0)=TRUE,"Yes","")</f>
        <v/>
      </c>
    </row>
    <row r="210" spans="1:11" ht="60" x14ac:dyDescent="0.3">
      <c r="A210" s="25" t="s">
        <v>581</v>
      </c>
      <c r="B210" s="24" t="str">
        <f>VLOOKUP($A210,Questions!$A$2:$X$333,2,0)</f>
        <v>Do you have the capability to respond to incidents on a 24 x 7 x 365 basis?</v>
      </c>
      <c r="C210" s="52" t="str">
        <f>VLOOKUP($A210,'Institution Evaluation'!$A$56:$K$346,3,0)&amp;""</f>
        <v>Yes</v>
      </c>
      <c r="D210" s="52" t="str">
        <f>VLOOKUP($A210,'Institution Evaluation'!$A$56:$K$346,4,0)&amp;""</f>
        <v>Members of Cirrus Identity staff are on call to respond to incidents 24X7X365.</v>
      </c>
      <c r="E210" s="351" t="str">
        <f>VLOOKUP($A210,'Institution Evaluation'!$A$56:$K$346,5,0)&amp;""</f>
        <v>Summarize your internal approach or reference your third-party contractor.</v>
      </c>
      <c r="F210" s="195" t="str">
        <f>VLOOKUP($A210,'Institution Evaluation'!$A$56:$K$346,6,0)&amp;""</f>
        <v/>
      </c>
      <c r="G210" s="37" t="str">
        <f>VLOOKUP($A210,'Institution Evaluation'!$A$56:$K$346,7,0)&amp;""</f>
        <v>Yes</v>
      </c>
      <c r="H210" s="192" t="str">
        <f>VLOOKUP($A210,'Institution Evaluation'!$A$56:$K$346,8,0)&amp;""</f>
        <v/>
      </c>
      <c r="I210" s="52" t="str">
        <f>VLOOKUP($A210,'Institution Evaluation'!$A$56:$K$346,9,0)&amp;""</f>
        <v>Minor Importance</v>
      </c>
      <c r="J210" s="193" t="str">
        <f>VLOOKUP($A210,'Institution Evaluation'!$A$56:$K$346,10,0)&amp;""</f>
        <v/>
      </c>
      <c r="K210" s="55" t="str">
        <f>IF(VLOOKUP($A210,'Institution Evaluation'!$A$56:$K$346,10,0)=TRUE,"Yes","")</f>
        <v/>
      </c>
    </row>
    <row r="211" spans="1:11" ht="60" x14ac:dyDescent="0.3">
      <c r="A211" s="25" t="s">
        <v>585</v>
      </c>
      <c r="B211" s="24" t="str">
        <f>VLOOKUP($A211,Questions!$A$2:$X$333,2,0)</f>
        <v>Do you carry cyber-risk insurance to protect against unforeseen service outages, data that is lost or stolen, and security incidents?</v>
      </c>
      <c r="C211" s="52" t="str">
        <f>VLOOKUP($A211,'Institution Evaluation'!$A$56:$K$346,3,0)&amp;""</f>
        <v>Yes</v>
      </c>
      <c r="D211" s="52" t="str">
        <f>VLOOKUP($A211,'Institution Evaluation'!$A$56:$K$346,4,0)&amp;""</f>
        <v>Each wrongful act: $10,000,000 Aggregate: $10,000,000</v>
      </c>
      <c r="E211" s="351" t="str">
        <f>VLOOKUP($A211,'Institution Evaluation'!$A$56:$K$346,5,0)&amp;""</f>
        <v>Describe the coverage in place for this solution.</v>
      </c>
      <c r="F211" s="195" t="str">
        <f>VLOOKUP($A211,'Institution Evaluation'!$A$56:$K$346,6,0)&amp;""</f>
        <v/>
      </c>
      <c r="G211" s="37" t="str">
        <f>VLOOKUP($A211,'Institution Evaluation'!$A$56:$K$346,7,0)&amp;""</f>
        <v>Yes</v>
      </c>
      <c r="H211" s="192" t="str">
        <f>VLOOKUP($A211,'Institution Evaluation'!$A$56:$K$346,8,0)&amp;""</f>
        <v/>
      </c>
      <c r="I211" s="52" t="str">
        <f>VLOOKUP($A211,'Institution Evaluation'!$A$56:$K$346,9,0)&amp;""</f>
        <v>Minor Importance</v>
      </c>
      <c r="J211" s="193" t="str">
        <f>VLOOKUP($A211,'Institution Evaluation'!$A$56:$K$346,10,0)&amp;""</f>
        <v/>
      </c>
      <c r="K211" s="55" t="str">
        <f>IF(VLOOKUP($A211,'Institution Evaluation'!$A$56:$K$346,10,0)=TRUE,"Yes","")</f>
        <v/>
      </c>
    </row>
    <row r="212" spans="1:11" s="1" customFormat="1" ht="17.5" x14ac:dyDescent="0.25">
      <c r="A212" s="70" t="str">
        <f>VLOOKUP(LEFT($A213,4),'Auto Responses'!$N$4:$O$38,2,0)&amp;""</f>
        <v xml:space="preserve"> Vulnerability Management</v>
      </c>
      <c r="B212" s="29"/>
      <c r="C212" s="38"/>
      <c r="D212" s="38"/>
      <c r="E212" s="352"/>
      <c r="F212" s="139" t="s">
        <v>1089</v>
      </c>
      <c r="G212" s="359" t="s">
        <v>925</v>
      </c>
      <c r="H212" s="359" t="s">
        <v>927</v>
      </c>
      <c r="I212" s="359" t="s">
        <v>19</v>
      </c>
      <c r="J212" s="359" t="s">
        <v>912</v>
      </c>
      <c r="K212" s="38"/>
    </row>
    <row r="213" spans="1:11" ht="345" x14ac:dyDescent="0.3">
      <c r="A213" s="25" t="s">
        <v>588</v>
      </c>
      <c r="B213" s="24" t="str">
        <f>VLOOKUP($A213,Questions!$A$2:$X$333,2,0)</f>
        <v>Are your systems and applications scanned with an authenticated user account for vulnerabilities (that are remediated) prior to new releases?*</v>
      </c>
      <c r="C213" s="52" t="str">
        <f>VLOOKUP($A213,'Institution Evaluation'!$A$56:$K$346,3,0)&amp;""</f>
        <v>No</v>
      </c>
      <c r="D213" s="52" t="str">
        <f>VLOOKUP($A213,'Institution Evaluation'!$A$56:$K$346,4,0)&amp;""</f>
        <v>As part of the Cirrus Identity Change Management process, a number of automated tests validate correct baseline operation when used by an authenticated end-user. Static code/application tests are applied to product code prior to release (see APPL-06 for details), application level content security policies are configured, and the AWS Web Application Firewall augment this automated testing to provide commercially reasonable compensating controls.</v>
      </c>
      <c r="E213" s="351" t="str">
        <f>VLOOKUP($A213,'Institution Evaluation'!$A$56:$K$346,5,0)&amp;""</f>
        <v>Describe plans to implement application vulnerability scanning (and remediation) prior to release.</v>
      </c>
      <c r="F213" s="195" t="str">
        <f>VLOOKUP($A213,'Institution Evaluation'!$A$56:$K$346,6,0)&amp;""</f>
        <v/>
      </c>
      <c r="G213" s="37" t="str">
        <f>VLOOKUP($A213,'Institution Evaluation'!$A$56:$K$346,7,0)&amp;""</f>
        <v>Yes</v>
      </c>
      <c r="H213" s="192" t="str">
        <f>VLOOKUP($A213,'Institution Evaluation'!$A$56:$K$346,8,0)&amp;""</f>
        <v/>
      </c>
      <c r="I213" s="52" t="str">
        <f>VLOOKUP($A213,'Institution Evaluation'!$A$56:$K$346,9,0)&amp;""</f>
        <v>Critical Importance</v>
      </c>
      <c r="J213" s="193" t="str">
        <f>VLOOKUP($A213,'Institution Evaluation'!$A$56:$K$346,10,0)&amp;""</f>
        <v/>
      </c>
      <c r="K213" s="55" t="str">
        <f>IF(VLOOKUP($A213,'Institution Evaluation'!$A$56:$K$346,10,0)=TRUE,"Yes","")</f>
        <v/>
      </c>
    </row>
    <row r="214" spans="1:11" ht="135" x14ac:dyDescent="0.3">
      <c r="A214" s="25" t="s">
        <v>592</v>
      </c>
      <c r="B214" s="24" t="str">
        <f>VLOOKUP($A214,Questions!$A$2:$X$333,2,0)</f>
        <v>Will you provide results of application and system vulnerability scans to the institution?*</v>
      </c>
      <c r="C214" s="52" t="str">
        <f>VLOOKUP($A214,'Institution Evaluation'!$A$56:$K$346,3,0)&amp;""</f>
        <v>Yes</v>
      </c>
      <c r="D214" s="52" t="str">
        <f>VLOOKUP($A214,'Institution Evaluation'!$A$56:$K$346,4,0)&amp;""</f>
        <v xml:space="preserve">Results of scans will be provided to institutions upon request after any critical, high, or medium vulnerabilities are mitigated (see https://nvd.nist.gov/vuln-metrics/cvss for definitions). </v>
      </c>
      <c r="E214" s="351" t="str">
        <f>VLOOKUP($A214,'Institution Evaluation'!$A$56:$K$346,5,0)&amp;""</f>
        <v>Provide a reference to security scan documentation.</v>
      </c>
      <c r="F214" s="195" t="str">
        <f>VLOOKUP($A214,'Institution Evaluation'!$A$56:$K$346,6,0)&amp;""</f>
        <v/>
      </c>
      <c r="G214" s="37" t="str">
        <f>VLOOKUP($A214,'Institution Evaluation'!$A$56:$K$346,7,0)&amp;""</f>
        <v>Yes</v>
      </c>
      <c r="H214" s="192" t="str">
        <f>VLOOKUP($A214,'Institution Evaluation'!$A$56:$K$346,8,0)&amp;""</f>
        <v/>
      </c>
      <c r="I214" s="52" t="str">
        <f>VLOOKUP($A214,'Institution Evaluation'!$A$56:$K$346,9,0)&amp;""</f>
        <v>Critical Importance</v>
      </c>
      <c r="J214" s="193" t="str">
        <f>VLOOKUP($A214,'Institution Evaluation'!$A$56:$K$346,10,0)&amp;""</f>
        <v/>
      </c>
      <c r="K214" s="55" t="str">
        <f>IF(VLOOKUP($A214,'Institution Evaluation'!$A$56:$K$346,10,0)=TRUE,"Yes","")</f>
        <v/>
      </c>
    </row>
    <row r="215" spans="1:11" ht="135" x14ac:dyDescent="0.3">
      <c r="A215" s="25" t="s">
        <v>599</v>
      </c>
      <c r="B215" s="24" t="str">
        <f>VLOOKUP($A215,Questions!$A$2:$X$333,2,0)</f>
        <v>Have your systems and applications had a third-party security assessment completed in the last year?</v>
      </c>
      <c r="C215" s="52" t="str">
        <f>VLOOKUP($A215,'Institution Evaluation'!$A$56:$K$346,3,0)&amp;""</f>
        <v>Yes</v>
      </c>
      <c r="D215" s="52" t="str">
        <f>VLOOKUP($A215,'Institution Evaluation'!$A$56:$K$346,4,0)&amp;""</f>
        <v>Cirrus Identity contracts with a third-party (Rapid7) to perform annual vulnerability scanning (internal and external). An attestation from Rapid7 is available upon request.</v>
      </c>
      <c r="E215" s="351" t="str">
        <f>VLOOKUP($A215,'Institution Evaluation'!$A$56:$K$346,5,0)&amp;""</f>
        <v>Provide the results with this document (link or attached), if possible. State the date of the last completed third-party security assessment.</v>
      </c>
      <c r="F215" s="195" t="str">
        <f>VLOOKUP($A215,'Institution Evaluation'!$A$56:$K$346,6,0)&amp;""</f>
        <v/>
      </c>
      <c r="G215" s="37" t="str">
        <f>VLOOKUP($A215,'Institution Evaluation'!$A$56:$K$346,7,0)&amp;""</f>
        <v>Yes</v>
      </c>
      <c r="H215" s="192" t="str">
        <f>VLOOKUP($A215,'Institution Evaluation'!$A$56:$K$346,8,0)&amp;""</f>
        <v/>
      </c>
      <c r="I215" s="52" t="str">
        <f>VLOOKUP($A215,'Institution Evaluation'!$A$56:$K$346,9,0)&amp;""</f>
        <v>Standard Importance</v>
      </c>
      <c r="J215" s="193" t="str">
        <f>VLOOKUP($A215,'Institution Evaluation'!$A$56:$K$346,10,0)&amp;""</f>
        <v/>
      </c>
      <c r="K215" s="55" t="str">
        <f>IF(VLOOKUP($A215,'Institution Evaluation'!$A$56:$K$346,10,0)=TRUE,"Yes","")</f>
        <v/>
      </c>
    </row>
    <row r="216" spans="1:11" ht="90" x14ac:dyDescent="0.3">
      <c r="A216" s="25" t="s">
        <v>604</v>
      </c>
      <c r="B216" s="24" t="str">
        <f>VLOOKUP($A216,Questions!$A$2:$X$333,2,0)</f>
        <v>Are your systems and applications regularly scanned externally for vulnerabilities?</v>
      </c>
      <c r="C216" s="52" t="str">
        <f>VLOOKUP($A216,'Institution Evaluation'!$A$56:$K$346,3,0)&amp;""</f>
        <v>Yes</v>
      </c>
      <c r="D216" s="52" t="str">
        <f>VLOOKUP($A216,'Institution Evaluation'!$A$56:$K$346,4,0)&amp;""</f>
        <v>Cirrus Identity contracts with a third party (Rapid7) to perform annual vulnerability scanning (internal and external).</v>
      </c>
      <c r="E216" s="351" t="str">
        <f>VLOOKUP($A216,'Institution Evaluation'!$A$56:$K$346,5,0)&amp;""</f>
        <v>Decribe your external application vulnerability scanning strategy.</v>
      </c>
      <c r="F216" s="195" t="str">
        <f>VLOOKUP($A216,'Institution Evaluation'!$A$56:$K$346,6,0)&amp;""</f>
        <v/>
      </c>
      <c r="G216" s="37" t="str">
        <f>VLOOKUP($A216,'Institution Evaluation'!$A$56:$K$346,7,0)&amp;""</f>
        <v>Yes</v>
      </c>
      <c r="H216" s="192" t="str">
        <f>VLOOKUP($A216,'Institution Evaluation'!$A$56:$K$346,8,0)&amp;""</f>
        <v/>
      </c>
      <c r="I216" s="52" t="str">
        <f>VLOOKUP($A216,'Institution Evaluation'!$A$56:$K$346,9,0)&amp;""</f>
        <v>Minor Importance</v>
      </c>
      <c r="J216" s="193" t="str">
        <f>VLOOKUP($A216,'Institution Evaluation'!$A$56:$K$346,10,0)&amp;""</f>
        <v/>
      </c>
      <c r="K216" s="55" t="str">
        <f>IF(VLOOKUP($A216,'Institution Evaluation'!$A$56:$K$346,10,0)=TRUE,"Yes","")</f>
        <v/>
      </c>
    </row>
    <row r="217" spans="1:11" s="1" customFormat="1" ht="17.5" x14ac:dyDescent="0.25">
      <c r="A217" s="70" t="str">
        <f>VLOOKUP(LEFT($A218,4),'Auto Responses'!$N$4:$O$38,2,0)&amp;""</f>
        <v xml:space="preserve">HIPAA Compliance </v>
      </c>
      <c r="B217" s="29"/>
      <c r="C217" s="38"/>
      <c r="D217" s="38"/>
      <c r="E217" s="352"/>
      <c r="F217" s="139" t="s">
        <v>1089</v>
      </c>
      <c r="G217" s="359" t="s">
        <v>925</v>
      </c>
      <c r="H217" s="359" t="s">
        <v>927</v>
      </c>
      <c r="I217" s="359" t="s">
        <v>19</v>
      </c>
      <c r="J217" s="359" t="s">
        <v>912</v>
      </c>
      <c r="K217" s="38"/>
    </row>
    <row r="218" spans="1:11" ht="90" x14ac:dyDescent="0.3">
      <c r="A218" s="25" t="s">
        <v>607</v>
      </c>
      <c r="B218" s="24" t="str">
        <f>VLOOKUP($A218,Questions!$A$2:$X$333,2,0)</f>
        <v>Do your workforce members receive regular training related to the Health Insurance Portability and Accountability Act (HIPAA) Privacy and Security Rules and the HITECH Act?*</v>
      </c>
      <c r="C218" s="52" t="str">
        <f>VLOOKUP($A218,'Institution Evaluation'!$A$56:$K$346,3,0)&amp;""</f>
        <v/>
      </c>
      <c r="D218" s="52" t="str">
        <f>VLOOKUP($A218,'Institution Evaluation'!$A$56:$K$346,4,0)&amp;""</f>
        <v/>
      </c>
      <c r="E218" s="351" t="str">
        <f>VLOOKUP($A218,'Institution Evaluation'!$A$56:$K$346,5,0)&amp;""</f>
        <v>Based on the response to REQU-05 on the "START HERE" tab, this question does not apply to this product or service.</v>
      </c>
      <c r="F218" s="195" t="str">
        <f>VLOOKUP($A218,'Institution Evaluation'!$A$56:$K$346,6,0)&amp;""</f>
        <v/>
      </c>
      <c r="G218" s="37" t="str">
        <f>VLOOKUP($A218,'Institution Evaluation'!$A$56:$K$346,7,0)&amp;""</f>
        <v>Yes</v>
      </c>
      <c r="H218" s="192" t="str">
        <f>VLOOKUP($A218,'Institution Evaluation'!$A$56:$K$346,8,0)&amp;""</f>
        <v/>
      </c>
      <c r="I218" s="52" t="str">
        <f>VLOOKUP($A218,'Institution Evaluation'!$A$56:$K$346,9,0)&amp;""</f>
        <v>Critical Importance</v>
      </c>
      <c r="J218" s="193" t="str">
        <f>VLOOKUP($A218,'Institution Evaluation'!$A$56:$K$346,10,0)&amp;""</f>
        <v/>
      </c>
      <c r="K218" s="55" t="str">
        <f>IF(VLOOKUP($A218,'Institution Evaluation'!$A$56:$K$346,10,0)=TRUE,"Yes","")</f>
        <v/>
      </c>
    </row>
    <row r="219" spans="1:11" ht="90" x14ac:dyDescent="0.3">
      <c r="A219" s="25" t="s">
        <v>612</v>
      </c>
      <c r="B219" s="24" t="str">
        <f>VLOOKUP($A219,Questions!$A$2:$X$333,2,0)</f>
        <v>Have you identified areas of risk?*</v>
      </c>
      <c r="C219" s="52" t="str">
        <f>VLOOKUP($A219,'Institution Evaluation'!$A$56:$K$346,3,0)&amp;""</f>
        <v/>
      </c>
      <c r="D219" s="52" t="str">
        <f>VLOOKUP($A219,'Institution Evaluation'!$A$56:$K$346,4,0)&amp;""</f>
        <v/>
      </c>
      <c r="E219" s="351" t="str">
        <f>VLOOKUP($A219,'Institution Evaluation'!$A$56:$K$346,5,0)&amp;""</f>
        <v>Based on the response to REQU-05 on the "START HERE" tab, this question does not apply to this product or service.</v>
      </c>
      <c r="F219" s="195" t="str">
        <f>VLOOKUP($A219,'Institution Evaluation'!$A$56:$K$346,6,0)&amp;""</f>
        <v/>
      </c>
      <c r="G219" s="37" t="str">
        <f>VLOOKUP($A219,'Institution Evaluation'!$A$56:$K$346,7,0)&amp;""</f>
        <v>Yes</v>
      </c>
      <c r="H219" s="192" t="str">
        <f>VLOOKUP($A219,'Institution Evaluation'!$A$56:$K$346,8,0)&amp;""</f>
        <v/>
      </c>
      <c r="I219" s="52" t="str">
        <f>VLOOKUP($A219,'Institution Evaluation'!$A$56:$K$346,9,0)&amp;""</f>
        <v>Critical Importance</v>
      </c>
      <c r="J219" s="193" t="str">
        <f>VLOOKUP($A219,'Institution Evaluation'!$A$56:$K$346,10,0)&amp;""</f>
        <v/>
      </c>
      <c r="K219" s="55" t="str">
        <f>IF(VLOOKUP($A219,'Institution Evaluation'!$A$56:$K$346,10,0)=TRUE,"Yes","")</f>
        <v/>
      </c>
    </row>
    <row r="220" spans="1:11" ht="90" x14ac:dyDescent="0.3">
      <c r="A220" s="25" t="s">
        <v>614</v>
      </c>
      <c r="B220" s="24" t="str">
        <f>VLOOKUP($A220,Questions!$A$2:$X$333,2,0)</f>
        <v>Have the relevant policies/plans been tested?*</v>
      </c>
      <c r="C220" s="52" t="str">
        <f>VLOOKUP($A220,'Institution Evaluation'!$A$56:$K$346,3,0)&amp;""</f>
        <v/>
      </c>
      <c r="D220" s="52" t="str">
        <f>VLOOKUP($A220,'Institution Evaluation'!$A$56:$K$346,4,0)&amp;""</f>
        <v/>
      </c>
      <c r="E220" s="351" t="str">
        <f>VLOOKUP($A220,'Institution Evaluation'!$A$56:$K$346,5,0)&amp;""</f>
        <v>Based on the response to REQU-05 on the "START HERE" tab, this question does not apply to this product or service.</v>
      </c>
      <c r="F220" s="195" t="str">
        <f>VLOOKUP($A220,'Institution Evaluation'!$A$56:$K$346,6,0)&amp;""</f>
        <v/>
      </c>
      <c r="G220" s="37" t="str">
        <f>VLOOKUP($A220,'Institution Evaluation'!$A$56:$K$346,7,0)&amp;""</f>
        <v>Yes</v>
      </c>
      <c r="H220" s="192" t="str">
        <f>VLOOKUP($A220,'Institution Evaluation'!$A$56:$K$346,8,0)&amp;""</f>
        <v/>
      </c>
      <c r="I220" s="52" t="str">
        <f>VLOOKUP($A220,'Institution Evaluation'!$A$56:$K$346,9,0)&amp;""</f>
        <v>Critical Importance</v>
      </c>
      <c r="J220" s="193" t="str">
        <f>VLOOKUP($A220,'Institution Evaluation'!$A$56:$K$346,10,0)&amp;""</f>
        <v/>
      </c>
      <c r="K220" s="55" t="str">
        <f>IF(VLOOKUP($A220,'Institution Evaluation'!$A$56:$K$346,10,0)=TRUE,"Yes","")</f>
        <v/>
      </c>
    </row>
    <row r="221" spans="1:11" ht="90" x14ac:dyDescent="0.3">
      <c r="A221" s="25" t="s">
        <v>616</v>
      </c>
      <c r="B221" s="24" t="str">
        <f>VLOOKUP($A221,Questions!$A$2:$X$333,2,0)</f>
        <v>Have you entered into a Business Associate Agreements with all subcontractors who may have access to protected health information (PHI)?*</v>
      </c>
      <c r="C221" s="52" t="str">
        <f>VLOOKUP($A221,'Institution Evaluation'!$A$56:$K$346,3,0)&amp;""</f>
        <v/>
      </c>
      <c r="D221" s="52" t="str">
        <f>VLOOKUP($A221,'Institution Evaluation'!$A$56:$K$346,4,0)&amp;""</f>
        <v/>
      </c>
      <c r="E221" s="351" t="str">
        <f>VLOOKUP($A221,'Institution Evaluation'!$A$56:$K$346,5,0)&amp;""</f>
        <v>Based on the response to REQU-05 on the "START HERE" tab, this question does not apply to this product or service.</v>
      </c>
      <c r="F221" s="195" t="str">
        <f>VLOOKUP($A221,'Institution Evaluation'!$A$56:$K$346,6,0)&amp;""</f>
        <v/>
      </c>
      <c r="G221" s="37" t="str">
        <f>VLOOKUP($A221,'Institution Evaluation'!$A$56:$K$346,7,0)&amp;""</f>
        <v>Yes</v>
      </c>
      <c r="H221" s="192" t="str">
        <f>VLOOKUP($A221,'Institution Evaluation'!$A$56:$K$346,8,0)&amp;""</f>
        <v/>
      </c>
      <c r="I221" s="52" t="str">
        <f>VLOOKUP($A221,'Institution Evaluation'!$A$56:$K$346,9,0)&amp;""</f>
        <v>Critical Importance</v>
      </c>
      <c r="J221" s="193" t="str">
        <f>VLOOKUP($A221,'Institution Evaluation'!$A$56:$K$346,10,0)&amp;""</f>
        <v/>
      </c>
      <c r="K221" s="55" t="str">
        <f>IF(VLOOKUP($A221,'Institution Evaluation'!$A$56:$K$346,10,0)=TRUE,"Yes","")</f>
        <v/>
      </c>
    </row>
    <row r="222" spans="1:11" ht="90" x14ac:dyDescent="0.3">
      <c r="A222" s="25" t="s">
        <v>618</v>
      </c>
      <c r="B222" s="24" t="str">
        <f>VLOOKUP($A222,Questions!$A$2:$X$333,2,0)</f>
        <v>Do you monitor or receive information regarding changes in HIPAA regulations?</v>
      </c>
      <c r="C222" s="52" t="str">
        <f>VLOOKUP($A222,'Institution Evaluation'!$A$56:$K$346,3,0)&amp;""</f>
        <v/>
      </c>
      <c r="D222" s="52" t="str">
        <f>VLOOKUP($A222,'Institution Evaluation'!$A$56:$K$346,4,0)&amp;""</f>
        <v/>
      </c>
      <c r="E222" s="351" t="str">
        <f>VLOOKUP($A222,'Institution Evaluation'!$A$56:$K$346,5,0)&amp;""</f>
        <v>Based on the response to REQU-05 on the "START HERE" tab, this question does not apply to this product or service.</v>
      </c>
      <c r="F222" s="195" t="str">
        <f>VLOOKUP($A222,'Institution Evaluation'!$A$56:$K$346,6,0)&amp;""</f>
        <v/>
      </c>
      <c r="G222" s="37" t="str">
        <f>VLOOKUP($A222,'Institution Evaluation'!$A$56:$K$346,7,0)&amp;""</f>
        <v>Yes</v>
      </c>
      <c r="H222" s="192" t="str">
        <f>VLOOKUP($A222,'Institution Evaluation'!$A$56:$K$346,8,0)&amp;""</f>
        <v/>
      </c>
      <c r="I222" s="52" t="str">
        <f>VLOOKUP($A222,'Institution Evaluation'!$A$56:$K$346,9,0)&amp;""</f>
        <v>Standard Importance</v>
      </c>
      <c r="J222" s="193" t="str">
        <f>VLOOKUP($A222,'Institution Evaluation'!$A$56:$K$346,10,0)&amp;""</f>
        <v/>
      </c>
      <c r="K222" s="55" t="str">
        <f>IF(VLOOKUP($A222,'Institution Evaluation'!$A$56:$K$346,10,0)=TRUE,"Yes","")</f>
        <v/>
      </c>
    </row>
    <row r="223" spans="1:11" ht="90" x14ac:dyDescent="0.3">
      <c r="A223" s="25" t="s">
        <v>619</v>
      </c>
      <c r="B223" s="24" t="str">
        <f>VLOOKUP($A223,Questions!$A$2:$X$333,2,0)</f>
        <v>Has your organization designated HIPAA Privacy and Security officers as required by the rules?</v>
      </c>
      <c r="C223" s="52" t="str">
        <f>VLOOKUP($A223,'Institution Evaluation'!$A$56:$K$346,3,0)&amp;""</f>
        <v/>
      </c>
      <c r="D223" s="52" t="str">
        <f>VLOOKUP($A223,'Institution Evaluation'!$A$56:$K$346,4,0)&amp;""</f>
        <v/>
      </c>
      <c r="E223" s="351" t="str">
        <f>VLOOKUP($A223,'Institution Evaluation'!$A$56:$K$346,5,0)&amp;""</f>
        <v>Based on the response to REQU-05 on the "START HERE" tab, this question does not apply to this product or service.</v>
      </c>
      <c r="F223" s="195" t="str">
        <f>VLOOKUP($A223,'Institution Evaluation'!$A$56:$K$346,6,0)&amp;""</f>
        <v/>
      </c>
      <c r="G223" s="37" t="str">
        <f>VLOOKUP($A223,'Institution Evaluation'!$A$56:$K$346,7,0)&amp;""</f>
        <v>Yes</v>
      </c>
      <c r="H223" s="192" t="str">
        <f>VLOOKUP($A223,'Institution Evaluation'!$A$56:$K$346,8,0)&amp;""</f>
        <v/>
      </c>
      <c r="I223" s="52" t="str">
        <f>VLOOKUP($A223,'Institution Evaluation'!$A$56:$K$346,9,0)&amp;""</f>
        <v>Standard Importance</v>
      </c>
      <c r="J223" s="193" t="str">
        <f>VLOOKUP($A223,'Institution Evaluation'!$A$56:$K$346,10,0)&amp;""</f>
        <v/>
      </c>
      <c r="K223" s="55" t="str">
        <f>IF(VLOOKUP($A223,'Institution Evaluation'!$A$56:$K$346,10,0)=TRUE,"Yes","")</f>
        <v/>
      </c>
    </row>
    <row r="224" spans="1:11" ht="90" x14ac:dyDescent="0.3">
      <c r="A224" s="25" t="s">
        <v>620</v>
      </c>
      <c r="B224" s="24" t="str">
        <f>VLOOKUP($A224,Questions!$A$2:$X$333,2,0)</f>
        <v>Do you comply with the requirements of the Health Information Technology for Economic and Clinical Health Act (HITECH)?</v>
      </c>
      <c r="C224" s="52" t="str">
        <f>VLOOKUP($A224,'Institution Evaluation'!$A$56:$K$346,3,0)&amp;""</f>
        <v/>
      </c>
      <c r="D224" s="52" t="str">
        <f>VLOOKUP($A224,'Institution Evaluation'!$A$56:$K$346,4,0)&amp;""</f>
        <v/>
      </c>
      <c r="E224" s="351" t="str">
        <f>VLOOKUP($A224,'Institution Evaluation'!$A$56:$K$346,5,0)&amp;""</f>
        <v>Based on the response to REQU-05 on the "START HERE" tab, this question does not apply to this product or service.</v>
      </c>
      <c r="F224" s="195" t="str">
        <f>VLOOKUP($A224,'Institution Evaluation'!$A$56:$K$346,6,0)&amp;""</f>
        <v/>
      </c>
      <c r="G224" s="37" t="str">
        <f>VLOOKUP($A224,'Institution Evaluation'!$A$56:$K$346,7,0)&amp;""</f>
        <v>Yes</v>
      </c>
      <c r="H224" s="192" t="str">
        <f>VLOOKUP($A224,'Institution Evaluation'!$A$56:$K$346,8,0)&amp;""</f>
        <v/>
      </c>
      <c r="I224" s="52" t="str">
        <f>VLOOKUP($A224,'Institution Evaluation'!$A$56:$K$346,9,0)&amp;""</f>
        <v>Standard Importance</v>
      </c>
      <c r="J224" s="193" t="str">
        <f>VLOOKUP($A224,'Institution Evaluation'!$A$56:$K$346,10,0)&amp;""</f>
        <v/>
      </c>
      <c r="K224" s="55" t="str">
        <f>IF(VLOOKUP($A224,'Institution Evaluation'!$A$56:$K$346,10,0)=TRUE,"Yes","")</f>
        <v/>
      </c>
    </row>
    <row r="225" spans="1:11" ht="90" x14ac:dyDescent="0.3">
      <c r="A225" s="25" t="s">
        <v>622</v>
      </c>
      <c r="B225" s="24" t="str">
        <f>VLOOKUP($A225,Questions!$A$2:$X$333,2,0)</f>
        <v>Have you conducted a risk analysis as required under the HIPAA Security Rule?</v>
      </c>
      <c r="C225" s="52" t="str">
        <f>VLOOKUP($A225,'Institution Evaluation'!$A$56:$K$346,3,0)&amp;""</f>
        <v/>
      </c>
      <c r="D225" s="52" t="str">
        <f>VLOOKUP($A225,'Institution Evaluation'!$A$56:$K$346,4,0)&amp;""</f>
        <v/>
      </c>
      <c r="E225" s="351" t="str">
        <f>VLOOKUP($A225,'Institution Evaluation'!$A$56:$K$346,5,0)&amp;""</f>
        <v>Based on the response to REQU-05 on the "START HERE" tab, this question does not apply to this product or service.</v>
      </c>
      <c r="F225" s="195" t="str">
        <f>VLOOKUP($A225,'Institution Evaluation'!$A$56:$K$346,6,0)&amp;""</f>
        <v/>
      </c>
      <c r="G225" s="37" t="str">
        <f>VLOOKUP($A225,'Institution Evaluation'!$A$56:$K$346,7,0)&amp;""</f>
        <v>Yes</v>
      </c>
      <c r="H225" s="192" t="str">
        <f>VLOOKUP($A225,'Institution Evaluation'!$A$56:$K$346,8,0)&amp;""</f>
        <v/>
      </c>
      <c r="I225" s="52" t="str">
        <f>VLOOKUP($A225,'Institution Evaluation'!$A$56:$K$346,9,0)&amp;""</f>
        <v>Standard Importance</v>
      </c>
      <c r="J225" s="193" t="str">
        <f>VLOOKUP($A225,'Institution Evaluation'!$A$56:$K$346,10,0)&amp;""</f>
        <v/>
      </c>
      <c r="K225" s="55" t="str">
        <f>IF(VLOOKUP($A225,'Institution Evaluation'!$A$56:$K$346,10,0)=TRUE,"Yes","")</f>
        <v/>
      </c>
    </row>
    <row r="226" spans="1:11" ht="90" x14ac:dyDescent="0.3">
      <c r="A226" s="25" t="s">
        <v>624</v>
      </c>
      <c r="B226" s="24" t="str">
        <f>VLOOKUP($A226,Questions!$A$2:$X$333,2,0)</f>
        <v>Have you taken actions to mitigate the identified risks?</v>
      </c>
      <c r="C226" s="52" t="str">
        <f>VLOOKUP($A226,'Institution Evaluation'!$A$56:$K$346,3,0)&amp;""</f>
        <v/>
      </c>
      <c r="D226" s="52" t="str">
        <f>VLOOKUP($A226,'Institution Evaluation'!$A$56:$K$346,4,0)&amp;""</f>
        <v/>
      </c>
      <c r="E226" s="351" t="str">
        <f>VLOOKUP($A226,'Institution Evaluation'!$A$56:$K$346,5,0)&amp;""</f>
        <v>Based on the response to REQU-05 on the "START HERE" tab, this question does not apply to this product or service.</v>
      </c>
      <c r="F226" s="195" t="str">
        <f>VLOOKUP($A226,'Institution Evaluation'!$A$56:$K$346,6,0)&amp;""</f>
        <v/>
      </c>
      <c r="G226" s="37" t="str">
        <f>VLOOKUP($A226,'Institution Evaluation'!$A$56:$K$346,7,0)&amp;""</f>
        <v>Yes</v>
      </c>
      <c r="H226" s="192" t="str">
        <f>VLOOKUP($A226,'Institution Evaluation'!$A$56:$K$346,8,0)&amp;""</f>
        <v/>
      </c>
      <c r="I226" s="52" t="str">
        <f>VLOOKUP($A226,'Institution Evaluation'!$A$56:$K$346,9,0)&amp;""</f>
        <v>Standard Importance</v>
      </c>
      <c r="J226" s="193" t="str">
        <f>VLOOKUP($A226,'Institution Evaluation'!$A$56:$K$346,10,0)&amp;""</f>
        <v/>
      </c>
      <c r="K226" s="55" t="str">
        <f>IF(VLOOKUP($A226,'Institution Evaluation'!$A$56:$K$346,10,0)=TRUE,"Yes","")</f>
        <v/>
      </c>
    </row>
    <row r="227" spans="1:11" ht="90" x14ac:dyDescent="0.3">
      <c r="A227" s="25" t="s">
        <v>626</v>
      </c>
      <c r="B227" s="24" t="str">
        <f>VLOOKUP($A227,Questions!$A$2:$X$333,2,0)</f>
        <v>Does your application require user and system administrator password changes at a frequency no greater than 90 days?</v>
      </c>
      <c r="C227" s="52" t="str">
        <f>VLOOKUP($A227,'Institution Evaluation'!$A$56:$K$346,3,0)&amp;""</f>
        <v/>
      </c>
      <c r="D227" s="52" t="str">
        <f>VLOOKUP($A227,'Institution Evaluation'!$A$56:$K$346,4,0)&amp;""</f>
        <v/>
      </c>
      <c r="E227" s="351" t="str">
        <f>VLOOKUP($A227,'Institution Evaluation'!$A$56:$K$346,5,0)&amp;""</f>
        <v>Based on the response to REQU-05 on the "START HERE" tab, this question does not apply to this product or service.</v>
      </c>
      <c r="F227" s="195" t="str">
        <f>VLOOKUP($A227,'Institution Evaluation'!$A$56:$K$346,6,0)&amp;""</f>
        <v/>
      </c>
      <c r="G227" s="37" t="str">
        <f>VLOOKUP($A227,'Institution Evaluation'!$A$56:$K$346,7,0)&amp;""</f>
        <v>Yes</v>
      </c>
      <c r="H227" s="192" t="str">
        <f>VLOOKUP($A227,'Institution Evaluation'!$A$56:$K$346,8,0)&amp;""</f>
        <v/>
      </c>
      <c r="I227" s="52" t="str">
        <f>VLOOKUP($A227,'Institution Evaluation'!$A$56:$K$346,9,0)&amp;""</f>
        <v>Standard Importance</v>
      </c>
      <c r="J227" s="193" t="str">
        <f>VLOOKUP($A227,'Institution Evaluation'!$A$56:$K$346,10,0)&amp;""</f>
        <v/>
      </c>
      <c r="K227" s="55" t="str">
        <f>IF(VLOOKUP($A227,'Institution Evaluation'!$A$56:$K$346,10,0)=TRUE,"Yes","")</f>
        <v/>
      </c>
    </row>
    <row r="228" spans="1:11" ht="90" x14ac:dyDescent="0.3">
      <c r="A228" s="25" t="s">
        <v>628</v>
      </c>
      <c r="B228" s="24" t="str">
        <f>VLOOKUP($A228,Questions!$A$2:$X$333,2,0)</f>
        <v>Does your application require users to set their own password after an administrator reset or on first use of the account?</v>
      </c>
      <c r="C228" s="52" t="str">
        <f>VLOOKUP($A228,'Institution Evaluation'!$A$56:$K$346,3,0)&amp;""</f>
        <v/>
      </c>
      <c r="D228" s="52" t="str">
        <f>VLOOKUP($A228,'Institution Evaluation'!$A$56:$K$346,4,0)&amp;""</f>
        <v/>
      </c>
      <c r="E228" s="351" t="str">
        <f>VLOOKUP($A228,'Institution Evaluation'!$A$56:$K$346,5,0)&amp;""</f>
        <v>Based on the response to REQU-05 on the "START HERE" tab, this question does not apply to this product or service.</v>
      </c>
      <c r="F228" s="195" t="str">
        <f>VLOOKUP($A228,'Institution Evaluation'!$A$56:$K$346,6,0)&amp;""</f>
        <v/>
      </c>
      <c r="G228" s="37" t="str">
        <f>VLOOKUP($A228,'Institution Evaluation'!$A$56:$K$346,7,0)&amp;""</f>
        <v>Yes</v>
      </c>
      <c r="H228" s="192" t="str">
        <f>VLOOKUP($A228,'Institution Evaluation'!$A$56:$K$346,8,0)&amp;""</f>
        <v/>
      </c>
      <c r="I228" s="52" t="str">
        <f>VLOOKUP($A228,'Institution Evaluation'!$A$56:$K$346,9,0)&amp;""</f>
        <v>Standard Importance</v>
      </c>
      <c r="J228" s="193" t="str">
        <f>VLOOKUP($A228,'Institution Evaluation'!$A$56:$K$346,10,0)&amp;""</f>
        <v/>
      </c>
      <c r="K228" s="55" t="str">
        <f>IF(VLOOKUP($A228,'Institution Evaluation'!$A$56:$K$346,10,0)=TRUE,"Yes","")</f>
        <v/>
      </c>
    </row>
    <row r="229" spans="1:11" ht="90" x14ac:dyDescent="0.3">
      <c r="A229" s="25" t="s">
        <v>630</v>
      </c>
      <c r="B229" s="24" t="str">
        <f>VLOOKUP($A229,Questions!$A$2:$X$333,2,0)</f>
        <v>Does your application lock out an account after a number of failed login attempts?</v>
      </c>
      <c r="C229" s="52" t="str">
        <f>VLOOKUP($A229,'Institution Evaluation'!$A$56:$K$346,3,0)&amp;""</f>
        <v/>
      </c>
      <c r="D229" s="52" t="str">
        <f>VLOOKUP($A229,'Institution Evaluation'!$A$56:$K$346,4,0)&amp;""</f>
        <v/>
      </c>
      <c r="E229" s="351" t="str">
        <f>VLOOKUP($A229,'Institution Evaluation'!$A$56:$K$346,5,0)&amp;""</f>
        <v>Based on the response to REQU-05 on the "START HERE" tab, this question does not apply to this product or service.</v>
      </c>
      <c r="F229" s="195" t="str">
        <f>VLOOKUP($A229,'Institution Evaluation'!$A$56:$K$346,6,0)&amp;""</f>
        <v/>
      </c>
      <c r="G229" s="37" t="str">
        <f>VLOOKUP($A229,'Institution Evaluation'!$A$56:$K$346,7,0)&amp;""</f>
        <v>Yes</v>
      </c>
      <c r="H229" s="192" t="str">
        <f>VLOOKUP($A229,'Institution Evaluation'!$A$56:$K$346,8,0)&amp;""</f>
        <v/>
      </c>
      <c r="I229" s="52" t="str">
        <f>VLOOKUP($A229,'Institution Evaluation'!$A$56:$K$346,9,0)&amp;""</f>
        <v>Standard Importance</v>
      </c>
      <c r="J229" s="193" t="str">
        <f>VLOOKUP($A229,'Institution Evaluation'!$A$56:$K$346,10,0)&amp;""</f>
        <v/>
      </c>
      <c r="K229" s="55" t="str">
        <f>IF(VLOOKUP($A229,'Institution Evaluation'!$A$56:$K$346,10,0)=TRUE,"Yes","")</f>
        <v/>
      </c>
    </row>
    <row r="230" spans="1:11" ht="90" x14ac:dyDescent="0.3">
      <c r="A230" s="25" t="s">
        <v>632</v>
      </c>
      <c r="B230" s="24" t="str">
        <f>VLOOKUP($A230,Questions!$A$2:$X$333,2,0)</f>
        <v>Does your application automatically lock or log-out an account after a period of inactivity?</v>
      </c>
      <c r="C230" s="52" t="str">
        <f>VLOOKUP($A230,'Institution Evaluation'!$A$56:$K$346,3,0)&amp;""</f>
        <v/>
      </c>
      <c r="D230" s="52" t="str">
        <f>VLOOKUP($A230,'Institution Evaluation'!$A$56:$K$346,4,0)&amp;""</f>
        <v/>
      </c>
      <c r="E230" s="351" t="str">
        <f>VLOOKUP($A230,'Institution Evaluation'!$A$56:$K$346,5,0)&amp;""</f>
        <v>Based on the response to REQU-05 on the "START HERE" tab, this question does not apply to this product or service.</v>
      </c>
      <c r="F230" s="195" t="str">
        <f>VLOOKUP($A230,'Institution Evaluation'!$A$56:$K$346,6,0)&amp;""</f>
        <v/>
      </c>
      <c r="G230" s="37" t="str">
        <f>VLOOKUP($A230,'Institution Evaluation'!$A$56:$K$346,7,0)&amp;""</f>
        <v>Yes</v>
      </c>
      <c r="H230" s="192" t="str">
        <f>VLOOKUP($A230,'Institution Evaluation'!$A$56:$K$346,8,0)&amp;""</f>
        <v/>
      </c>
      <c r="I230" s="52" t="str">
        <f>VLOOKUP($A230,'Institution Evaluation'!$A$56:$K$346,9,0)&amp;""</f>
        <v>Standard Importance</v>
      </c>
      <c r="J230" s="193" t="str">
        <f>VLOOKUP($A230,'Institution Evaluation'!$A$56:$K$346,10,0)&amp;""</f>
        <v/>
      </c>
      <c r="K230" s="55" t="str">
        <f>IF(VLOOKUP($A230,'Institution Evaluation'!$A$56:$K$346,10,0)=TRUE,"Yes","")</f>
        <v/>
      </c>
    </row>
    <row r="231" spans="1:11" ht="90" x14ac:dyDescent="0.3">
      <c r="A231" s="25" t="s">
        <v>634</v>
      </c>
      <c r="B231" s="24" t="str">
        <f>VLOOKUP($A231,Questions!$A$2:$X$333,2,0)</f>
        <v>Are passwords visible in plain text, whether when stored or entered, including service level accounts (i.e., database accounts, etc.)?</v>
      </c>
      <c r="C231" s="52" t="str">
        <f>VLOOKUP($A231,'Institution Evaluation'!$A$56:$K$346,3,0)&amp;""</f>
        <v/>
      </c>
      <c r="D231" s="52" t="str">
        <f>VLOOKUP($A231,'Institution Evaluation'!$A$56:$K$346,4,0)&amp;""</f>
        <v/>
      </c>
      <c r="E231" s="351" t="str">
        <f>VLOOKUP($A231,'Institution Evaluation'!$A$56:$K$346,5,0)&amp;""</f>
        <v>Based on the response to REQU-05 on the "START HERE" tab, this question does not apply to this product or service.</v>
      </c>
      <c r="F231" s="195" t="str">
        <f>VLOOKUP($A231,'Institution Evaluation'!$A$56:$K$346,6,0)&amp;""</f>
        <v/>
      </c>
      <c r="G231" s="37" t="str">
        <f>VLOOKUP($A231,'Institution Evaluation'!$A$56:$K$346,7,0)&amp;""</f>
        <v>No</v>
      </c>
      <c r="H231" s="192" t="str">
        <f>VLOOKUP($A231,'Institution Evaluation'!$A$56:$K$346,8,0)&amp;""</f>
        <v/>
      </c>
      <c r="I231" s="52" t="str">
        <f>VLOOKUP($A231,'Institution Evaluation'!$A$56:$K$346,9,0)&amp;""</f>
        <v>Standard Importance</v>
      </c>
      <c r="J231" s="193" t="str">
        <f>VLOOKUP($A231,'Institution Evaluation'!$A$56:$K$346,10,0)&amp;""</f>
        <v/>
      </c>
      <c r="K231" s="55" t="str">
        <f>IF(VLOOKUP($A231,'Institution Evaluation'!$A$56:$K$346,10,0)=TRUE,"Yes","")</f>
        <v/>
      </c>
    </row>
    <row r="232" spans="1:11" ht="90" x14ac:dyDescent="0.3">
      <c r="A232" s="25" t="s">
        <v>636</v>
      </c>
      <c r="B232" s="24" t="str">
        <f>VLOOKUP($A232,Questions!$A$2:$X$333,2,0)</f>
        <v>If the application is institution-hosted, can all service level and administrative account passwords be changed by the institution?</v>
      </c>
      <c r="C232" s="52" t="str">
        <f>VLOOKUP($A232,'Institution Evaluation'!$A$56:$K$346,3,0)&amp;""</f>
        <v/>
      </c>
      <c r="D232" s="52" t="str">
        <f>VLOOKUP($A232,'Institution Evaluation'!$A$56:$K$346,4,0)&amp;""</f>
        <v/>
      </c>
      <c r="E232" s="351" t="str">
        <f>VLOOKUP($A232,'Institution Evaluation'!$A$56:$K$346,5,0)&amp;""</f>
        <v>Based on the response to REQU-05 on the "START HERE" tab, this question does not apply to this product or service.</v>
      </c>
      <c r="F232" s="195" t="str">
        <f>VLOOKUP($A232,'Institution Evaluation'!$A$56:$K$346,6,0)&amp;""</f>
        <v/>
      </c>
      <c r="G232" s="37" t="str">
        <f>VLOOKUP($A232,'Institution Evaluation'!$A$56:$K$346,7,0)&amp;""</f>
        <v>Yes</v>
      </c>
      <c r="H232" s="192" t="str">
        <f>VLOOKUP($A232,'Institution Evaluation'!$A$56:$K$346,8,0)&amp;""</f>
        <v/>
      </c>
      <c r="I232" s="52" t="str">
        <f>VLOOKUP($A232,'Institution Evaluation'!$A$56:$K$346,9,0)&amp;""</f>
        <v>Standard Importance</v>
      </c>
      <c r="J232" s="193" t="str">
        <f>VLOOKUP($A232,'Institution Evaluation'!$A$56:$K$346,10,0)&amp;""</f>
        <v/>
      </c>
      <c r="K232" s="55" t="str">
        <f>IF(VLOOKUP($A232,'Institution Evaluation'!$A$56:$K$346,10,0)=TRUE,"Yes","")</f>
        <v/>
      </c>
    </row>
    <row r="233" spans="1:11" ht="90" x14ac:dyDescent="0.3">
      <c r="A233" s="25" t="s">
        <v>638</v>
      </c>
      <c r="B233" s="24" t="str">
        <f>VLOOKUP($A233,Questions!$A$2:$X$333,2,0)</f>
        <v>Does your application provide the ability to define user access levels?</v>
      </c>
      <c r="C233" s="52" t="str">
        <f>VLOOKUP($A233,'Institution Evaluation'!$A$56:$K$346,3,0)&amp;""</f>
        <v/>
      </c>
      <c r="D233" s="52" t="str">
        <f>VLOOKUP($A233,'Institution Evaluation'!$A$56:$K$346,4,0)&amp;""</f>
        <v/>
      </c>
      <c r="E233" s="351" t="str">
        <f>VLOOKUP($A233,'Institution Evaluation'!$A$56:$K$346,5,0)&amp;""</f>
        <v>Based on the response to REQU-05 on the "START HERE" tab, this question does not apply to this product or service.</v>
      </c>
      <c r="F233" s="195" t="str">
        <f>VLOOKUP($A233,'Institution Evaluation'!$A$56:$K$346,6,0)&amp;""</f>
        <v/>
      </c>
      <c r="G233" s="37" t="str">
        <f>VLOOKUP($A233,'Institution Evaluation'!$A$56:$K$346,7,0)&amp;""</f>
        <v>Yes</v>
      </c>
      <c r="H233" s="192" t="str">
        <f>VLOOKUP($A233,'Institution Evaluation'!$A$56:$K$346,8,0)&amp;""</f>
        <v/>
      </c>
      <c r="I233" s="52" t="str">
        <f>VLOOKUP($A233,'Institution Evaluation'!$A$56:$K$346,9,0)&amp;""</f>
        <v>Standard Importance</v>
      </c>
      <c r="J233" s="193" t="str">
        <f>VLOOKUP($A233,'Institution Evaluation'!$A$56:$K$346,10,0)&amp;""</f>
        <v/>
      </c>
      <c r="K233" s="55" t="str">
        <f>IF(VLOOKUP($A233,'Institution Evaluation'!$A$56:$K$346,10,0)=TRUE,"Yes","")</f>
        <v/>
      </c>
    </row>
    <row r="234" spans="1:11" ht="90" x14ac:dyDescent="0.3">
      <c r="A234" s="25" t="s">
        <v>640</v>
      </c>
      <c r="B234" s="24" t="str">
        <f>VLOOKUP($A234,Questions!$A$2:$X$333,2,0)</f>
        <v>Does your application support varying levels of access to administrative tasks defined individually per user?</v>
      </c>
      <c r="C234" s="52" t="str">
        <f>VLOOKUP($A234,'Institution Evaluation'!$A$56:$K$346,3,0)&amp;""</f>
        <v/>
      </c>
      <c r="D234" s="52" t="str">
        <f>VLOOKUP($A234,'Institution Evaluation'!$A$56:$K$346,4,0)&amp;""</f>
        <v/>
      </c>
      <c r="E234" s="351" t="str">
        <f>VLOOKUP($A234,'Institution Evaluation'!$A$56:$K$346,5,0)&amp;""</f>
        <v>Based on the response to REQU-05 on the "START HERE" tab, this question does not apply to this product or service.</v>
      </c>
      <c r="F234" s="195" t="str">
        <f>VLOOKUP($A234,'Institution Evaluation'!$A$56:$K$346,6,0)&amp;""</f>
        <v/>
      </c>
      <c r="G234" s="37" t="str">
        <f>VLOOKUP($A234,'Institution Evaluation'!$A$56:$K$346,7,0)&amp;""</f>
        <v>Yes</v>
      </c>
      <c r="H234" s="192" t="str">
        <f>VLOOKUP($A234,'Institution Evaluation'!$A$56:$K$346,8,0)&amp;""</f>
        <v/>
      </c>
      <c r="I234" s="52" t="str">
        <f>VLOOKUP($A234,'Institution Evaluation'!$A$56:$K$346,9,0)&amp;""</f>
        <v>Standard Importance</v>
      </c>
      <c r="J234" s="193" t="str">
        <f>VLOOKUP($A234,'Institution Evaluation'!$A$56:$K$346,10,0)&amp;""</f>
        <v/>
      </c>
      <c r="K234" s="55" t="str">
        <f>IF(VLOOKUP($A234,'Institution Evaluation'!$A$56:$K$346,10,0)=TRUE,"Yes","")</f>
        <v/>
      </c>
    </row>
    <row r="235" spans="1:11" ht="90" x14ac:dyDescent="0.3">
      <c r="A235" s="25" t="s">
        <v>642</v>
      </c>
      <c r="B235" s="24" t="str">
        <f>VLOOKUP($A235,Questions!$A$2:$X$333,2,0)</f>
        <v>Does your application support varying levels of access to records based on user ID?</v>
      </c>
      <c r="C235" s="52" t="str">
        <f>VLOOKUP($A235,'Institution Evaluation'!$A$56:$K$346,3,0)&amp;""</f>
        <v/>
      </c>
      <c r="D235" s="52" t="str">
        <f>VLOOKUP($A235,'Institution Evaluation'!$A$56:$K$346,4,0)&amp;""</f>
        <v/>
      </c>
      <c r="E235" s="351" t="str">
        <f>VLOOKUP($A235,'Institution Evaluation'!$A$56:$K$346,5,0)&amp;""</f>
        <v>Based on the response to REQU-05 on the "START HERE" tab, this question does not apply to this product or service.</v>
      </c>
      <c r="F235" s="195" t="str">
        <f>VLOOKUP($A235,'Institution Evaluation'!$A$56:$K$346,6,0)&amp;""</f>
        <v/>
      </c>
      <c r="G235" s="37" t="str">
        <f>VLOOKUP($A235,'Institution Evaluation'!$A$56:$K$346,7,0)&amp;""</f>
        <v>No</v>
      </c>
      <c r="H235" s="192" t="str">
        <f>VLOOKUP($A235,'Institution Evaluation'!$A$56:$K$346,8,0)&amp;""</f>
        <v/>
      </c>
      <c r="I235" s="52" t="str">
        <f>VLOOKUP($A235,'Institution Evaluation'!$A$56:$K$346,9,0)&amp;""</f>
        <v>Standard Importance</v>
      </c>
      <c r="J235" s="193" t="str">
        <f>VLOOKUP($A235,'Institution Evaluation'!$A$56:$K$346,10,0)&amp;""</f>
        <v/>
      </c>
      <c r="K235" s="55" t="str">
        <f>IF(VLOOKUP($A235,'Institution Evaluation'!$A$56:$K$346,10,0)=TRUE,"Yes","")</f>
        <v/>
      </c>
    </row>
    <row r="236" spans="1:11" ht="90" x14ac:dyDescent="0.3">
      <c r="A236" s="25" t="s">
        <v>643</v>
      </c>
      <c r="B236" s="24" t="str">
        <f>VLOOKUP($A236,Questions!$A$2:$X$333,2,0)</f>
        <v>Is there a limit to the number of groups to which a user can be assigned?</v>
      </c>
      <c r="C236" s="52" t="str">
        <f>VLOOKUP($A236,'Institution Evaluation'!$A$56:$K$346,3,0)&amp;""</f>
        <v/>
      </c>
      <c r="D236" s="52" t="str">
        <f>VLOOKUP($A236,'Institution Evaluation'!$A$56:$K$346,4,0)&amp;""</f>
        <v/>
      </c>
      <c r="E236" s="351" t="str">
        <f>VLOOKUP($A236,'Institution Evaluation'!$A$56:$K$346,5,0)&amp;""</f>
        <v>Based on the response to REQU-05 on the "START HERE" tab, this question does not apply to this product or service.</v>
      </c>
      <c r="F236" s="195" t="str">
        <f>VLOOKUP($A236,'Institution Evaluation'!$A$56:$K$346,6,0)&amp;""</f>
        <v/>
      </c>
      <c r="G236" s="37" t="str">
        <f>VLOOKUP($A236,'Institution Evaluation'!$A$56:$K$346,7,0)&amp;""</f>
        <v>Yes</v>
      </c>
      <c r="H236" s="192" t="str">
        <f>VLOOKUP($A236,'Institution Evaluation'!$A$56:$K$346,8,0)&amp;""</f>
        <v/>
      </c>
      <c r="I236" s="52" t="str">
        <f>VLOOKUP($A236,'Institution Evaluation'!$A$56:$K$346,9,0)&amp;""</f>
        <v>Standard Importance</v>
      </c>
      <c r="J236" s="193" t="str">
        <f>VLOOKUP($A236,'Institution Evaluation'!$A$56:$K$346,10,0)&amp;""</f>
        <v/>
      </c>
      <c r="K236" s="55" t="str">
        <f>IF(VLOOKUP($A236,'Institution Evaluation'!$A$56:$K$346,10,0)=TRUE,"Yes","")</f>
        <v/>
      </c>
    </row>
    <row r="237" spans="1:11" ht="90" x14ac:dyDescent="0.3">
      <c r="A237" s="25" t="s">
        <v>645</v>
      </c>
      <c r="B237" s="24" t="str">
        <f>VLOOKUP($A237,Questions!$A$2:$X$333,2,0)</f>
        <v>Do accounts used for solution provider-supplied remote support abide by the same authentication policies and access logging as the rest of the system?</v>
      </c>
      <c r="C237" s="52" t="str">
        <f>VLOOKUP($A237,'Institution Evaluation'!$A$56:$K$346,3,0)&amp;""</f>
        <v/>
      </c>
      <c r="D237" s="52" t="str">
        <f>VLOOKUP($A237,'Institution Evaluation'!$A$56:$K$346,4,0)&amp;""</f>
        <v/>
      </c>
      <c r="E237" s="351" t="str">
        <f>VLOOKUP($A237,'Institution Evaluation'!$A$56:$K$346,5,0)&amp;""</f>
        <v>Based on the response to REQU-05 on the "START HERE" tab, this question does not apply to this product or service.</v>
      </c>
      <c r="F237" s="195" t="str">
        <f>VLOOKUP($A237,'Institution Evaluation'!$A$56:$K$346,6,0)&amp;""</f>
        <v/>
      </c>
      <c r="G237" s="37" t="str">
        <f>VLOOKUP($A237,'Institution Evaluation'!$A$56:$K$346,7,0)&amp;""</f>
        <v>Yes</v>
      </c>
      <c r="H237" s="192" t="str">
        <f>VLOOKUP($A237,'Institution Evaluation'!$A$56:$K$346,8,0)&amp;""</f>
        <v/>
      </c>
      <c r="I237" s="52" t="str">
        <f>VLOOKUP($A237,'Institution Evaluation'!$A$56:$K$346,9,0)&amp;""</f>
        <v>Standard Importance</v>
      </c>
      <c r="J237" s="193" t="str">
        <f>VLOOKUP($A237,'Institution Evaluation'!$A$56:$K$346,10,0)&amp;""</f>
        <v/>
      </c>
      <c r="K237" s="55" t="str">
        <f>IF(VLOOKUP($A237,'Institution Evaluation'!$A$56:$K$346,10,0)=TRUE,"Yes","")</f>
        <v/>
      </c>
    </row>
    <row r="238" spans="1:11" ht="90" x14ac:dyDescent="0.3">
      <c r="A238" s="25" t="s">
        <v>646</v>
      </c>
      <c r="B238" s="24" t="str">
        <f>VLOOKUP($A238,Questions!$A$2:$X$333,2,0)</f>
        <v>Does the application log record access including specific user, date/time of access, and originating IP or device?</v>
      </c>
      <c r="C238" s="52" t="str">
        <f>VLOOKUP($A238,'Institution Evaluation'!$A$56:$K$346,3,0)&amp;""</f>
        <v/>
      </c>
      <c r="D238" s="52" t="str">
        <f>VLOOKUP($A238,'Institution Evaluation'!$A$56:$K$346,4,0)&amp;""</f>
        <v/>
      </c>
      <c r="E238" s="351" t="str">
        <f>VLOOKUP($A238,'Institution Evaluation'!$A$56:$K$346,5,0)&amp;""</f>
        <v>Based on the response to REQU-05 on the "START HERE" tab, this question does not apply to this product or service.</v>
      </c>
      <c r="F238" s="195" t="str">
        <f>VLOOKUP($A238,'Institution Evaluation'!$A$56:$K$346,6,0)&amp;""</f>
        <v/>
      </c>
      <c r="G238" s="37" t="str">
        <f>VLOOKUP($A238,'Institution Evaluation'!$A$56:$K$346,7,0)&amp;""</f>
        <v>Yes</v>
      </c>
      <c r="H238" s="192" t="str">
        <f>VLOOKUP($A238,'Institution Evaluation'!$A$56:$K$346,8,0)&amp;""</f>
        <v/>
      </c>
      <c r="I238" s="52" t="str">
        <f>VLOOKUP($A238,'Institution Evaluation'!$A$56:$K$346,9,0)&amp;""</f>
        <v>Standard Importance</v>
      </c>
      <c r="J238" s="193" t="str">
        <f>VLOOKUP($A238,'Institution Evaluation'!$A$56:$K$346,10,0)&amp;""</f>
        <v/>
      </c>
      <c r="K238" s="55" t="str">
        <f>IF(VLOOKUP($A238,'Institution Evaluation'!$A$56:$K$346,10,0)=TRUE,"Yes","")</f>
        <v/>
      </c>
    </row>
    <row r="239" spans="1:11" ht="90" x14ac:dyDescent="0.3">
      <c r="A239" s="25" t="s">
        <v>647</v>
      </c>
      <c r="B239" s="24" t="str">
        <f>VLOOKUP($A239,Questions!$A$2:$X$333,2,0)</f>
        <v>Does the application log administrative activity, such as user account access changes and password changes, including specific user, date/time of changes, and originating IP or device?</v>
      </c>
      <c r="C239" s="52" t="str">
        <f>VLOOKUP($A239,'Institution Evaluation'!$A$56:$K$346,3,0)&amp;""</f>
        <v/>
      </c>
      <c r="D239" s="52" t="str">
        <f>VLOOKUP($A239,'Institution Evaluation'!$A$56:$K$346,4,0)&amp;""</f>
        <v/>
      </c>
      <c r="E239" s="351" t="str">
        <f>VLOOKUP($A239,'Institution Evaluation'!$A$56:$K$346,5,0)&amp;""</f>
        <v>Based on the response to REQU-05 on the "START HERE" tab, this question does not apply to this product or service.</v>
      </c>
      <c r="F239" s="195" t="str">
        <f>VLOOKUP($A239,'Institution Evaluation'!$A$56:$K$346,6,0)&amp;""</f>
        <v/>
      </c>
      <c r="G239" s="37" t="str">
        <f>VLOOKUP($A239,'Institution Evaluation'!$A$56:$K$346,7,0)&amp;""</f>
        <v>Yes</v>
      </c>
      <c r="H239" s="192" t="str">
        <f>VLOOKUP($A239,'Institution Evaluation'!$A$56:$K$346,8,0)&amp;""</f>
        <v/>
      </c>
      <c r="I239" s="52" t="str">
        <f>VLOOKUP($A239,'Institution Evaluation'!$A$56:$K$346,9,0)&amp;""</f>
        <v>Standard Importance</v>
      </c>
      <c r="J239" s="193" t="str">
        <f>VLOOKUP($A239,'Institution Evaluation'!$A$56:$K$346,10,0)&amp;""</f>
        <v/>
      </c>
      <c r="K239" s="55" t="str">
        <f>IF(VLOOKUP($A239,'Institution Evaluation'!$A$56:$K$346,10,0)=TRUE,"Yes","")</f>
        <v/>
      </c>
    </row>
    <row r="240" spans="1:11" ht="90" x14ac:dyDescent="0.3">
      <c r="A240" s="25" t="s">
        <v>649</v>
      </c>
      <c r="B240" s="24" t="str">
        <f>VLOOKUP($A240,Questions!$A$2:$X$333,2,0)</f>
        <v>Do you retain logs for at least as long as required by HIPAA regulations?</v>
      </c>
      <c r="C240" s="52" t="str">
        <f>VLOOKUP($A240,'Institution Evaluation'!$A$56:$K$346,3,0)&amp;""</f>
        <v/>
      </c>
      <c r="D240" s="52" t="str">
        <f>VLOOKUP($A240,'Institution Evaluation'!$A$56:$K$346,4,0)&amp;""</f>
        <v/>
      </c>
      <c r="E240" s="351" t="str">
        <f>VLOOKUP($A240,'Institution Evaluation'!$A$56:$K$346,5,0)&amp;""</f>
        <v>Based on the response to REQU-05 on the "START HERE" tab, this question does not apply to this product or service.</v>
      </c>
      <c r="F240" s="195" t="str">
        <f>VLOOKUP($A240,'Institution Evaluation'!$A$56:$K$346,6,0)&amp;""</f>
        <v/>
      </c>
      <c r="G240" s="37" t="str">
        <f>VLOOKUP($A240,'Institution Evaluation'!$A$56:$K$346,7,0)&amp;""</f>
        <v>Yes</v>
      </c>
      <c r="H240" s="192" t="str">
        <f>VLOOKUP($A240,'Institution Evaluation'!$A$56:$K$346,8,0)&amp;""</f>
        <v/>
      </c>
      <c r="I240" s="52" t="str">
        <f>VLOOKUP($A240,'Institution Evaluation'!$A$56:$K$346,9,0)&amp;""</f>
        <v>Standard Importance</v>
      </c>
      <c r="J240" s="193" t="str">
        <f>VLOOKUP($A240,'Institution Evaluation'!$A$56:$K$346,10,0)&amp;""</f>
        <v/>
      </c>
      <c r="K240" s="55" t="str">
        <f>IF(VLOOKUP($A240,'Institution Evaluation'!$A$56:$K$346,10,0)=TRUE,"Yes","")</f>
        <v/>
      </c>
    </row>
    <row r="241" spans="1:14" ht="90" x14ac:dyDescent="0.3">
      <c r="A241" s="25" t="s">
        <v>651</v>
      </c>
      <c r="B241" s="24" t="str">
        <f>VLOOKUP($A241,Questions!$A$2:$X$333,2,0)</f>
        <v>Can the application logs be archived?</v>
      </c>
      <c r="C241" s="52" t="str">
        <f>VLOOKUP($A241,'Institution Evaluation'!$A$56:$K$346,3,0)&amp;""</f>
        <v/>
      </c>
      <c r="D241" s="52" t="str">
        <f>VLOOKUP($A241,'Institution Evaluation'!$A$56:$K$346,4,0)&amp;""</f>
        <v/>
      </c>
      <c r="E241" s="351" t="str">
        <f>VLOOKUP($A241,'Institution Evaluation'!$A$56:$K$346,5,0)&amp;""</f>
        <v>Based on the response to REQU-05 on the "START HERE" tab, this question does not apply to this product or service.</v>
      </c>
      <c r="F241" s="195" t="str">
        <f>VLOOKUP($A241,'Institution Evaluation'!$A$56:$K$346,6,0)&amp;""</f>
        <v/>
      </c>
      <c r="G241" s="37" t="str">
        <f>VLOOKUP($A241,'Institution Evaluation'!$A$56:$K$346,7,0)&amp;""</f>
        <v>Yes</v>
      </c>
      <c r="H241" s="192" t="str">
        <f>VLOOKUP($A241,'Institution Evaluation'!$A$56:$K$346,8,0)&amp;""</f>
        <v/>
      </c>
      <c r="I241" s="52" t="str">
        <f>VLOOKUP($A241,'Institution Evaluation'!$A$56:$K$346,9,0)&amp;""</f>
        <v>Standard Importance</v>
      </c>
      <c r="J241" s="193" t="str">
        <f>VLOOKUP($A241,'Institution Evaluation'!$A$56:$K$346,10,0)&amp;""</f>
        <v/>
      </c>
      <c r="K241" s="55" t="str">
        <f>IF(VLOOKUP($A241,'Institution Evaluation'!$A$56:$K$346,10,0)=TRUE,"Yes","")</f>
        <v/>
      </c>
    </row>
    <row r="242" spans="1:14" ht="90" x14ac:dyDescent="0.3">
      <c r="A242" s="25" t="s">
        <v>653</v>
      </c>
      <c r="B242" s="24" t="str">
        <f>VLOOKUP($A242,Questions!$A$2:$X$333,2,0)</f>
        <v>Can the application logs be saved externally?</v>
      </c>
      <c r="C242" s="52" t="str">
        <f>VLOOKUP($A242,'Institution Evaluation'!$A$56:$K$346,3,0)&amp;""</f>
        <v/>
      </c>
      <c r="D242" s="52" t="str">
        <f>VLOOKUP($A242,'Institution Evaluation'!$A$56:$K$346,4,0)&amp;""</f>
        <v/>
      </c>
      <c r="E242" s="351" t="str">
        <f>VLOOKUP($A242,'Institution Evaluation'!$A$56:$K$346,5,0)&amp;""</f>
        <v>Based on the response to REQU-05 on the "START HERE" tab, this question does not apply to this product or service.</v>
      </c>
      <c r="F242" s="195" t="str">
        <f>VLOOKUP($A242,'Institution Evaluation'!$A$56:$K$346,6,0)&amp;""</f>
        <v/>
      </c>
      <c r="G242" s="37" t="str">
        <f>VLOOKUP($A242,'Institution Evaluation'!$A$56:$K$346,7,0)&amp;""</f>
        <v>Yes</v>
      </c>
      <c r="H242" s="192" t="str">
        <f>VLOOKUP($A242,'Institution Evaluation'!$A$56:$K$346,8,0)&amp;""</f>
        <v/>
      </c>
      <c r="I242" s="52" t="str">
        <f>VLOOKUP($A242,'Institution Evaluation'!$A$56:$K$346,9,0)&amp;""</f>
        <v>Standard Importance</v>
      </c>
      <c r="J242" s="193" t="str">
        <f>VLOOKUP($A242,'Institution Evaluation'!$A$56:$K$346,10,0)&amp;""</f>
        <v/>
      </c>
      <c r="K242" s="55" t="str">
        <f>IF(VLOOKUP($A242,'Institution Evaluation'!$A$56:$K$346,10,0)=TRUE,"Yes","")</f>
        <v/>
      </c>
    </row>
    <row r="243" spans="1:14" ht="90" x14ac:dyDescent="0.3">
      <c r="A243" s="25" t="s">
        <v>655</v>
      </c>
      <c r="B243" s="24" t="str">
        <f>VLOOKUP($A243,Questions!$A$2:$X$333,2,0)</f>
        <v>Do you have a disaster recovery plan and emergency mode operation plan?</v>
      </c>
      <c r="C243" s="52" t="str">
        <f>VLOOKUP($A243,'Institution Evaluation'!$A$56:$K$346,3,0)&amp;""</f>
        <v/>
      </c>
      <c r="D243" s="52" t="str">
        <f>VLOOKUP($A243,'Institution Evaluation'!$A$56:$K$346,4,0)&amp;""</f>
        <v/>
      </c>
      <c r="E243" s="351" t="str">
        <f>VLOOKUP($A243,'Institution Evaluation'!$A$56:$K$346,5,0)&amp;""</f>
        <v>Based on the response to REQU-05 on the "START HERE" tab, this question does not apply to this product or service.</v>
      </c>
      <c r="F243" s="195" t="str">
        <f>VLOOKUP($A243,'Institution Evaluation'!$A$56:$K$346,6,0)&amp;""</f>
        <v/>
      </c>
      <c r="G243" s="37" t="str">
        <f>VLOOKUP($A243,'Institution Evaluation'!$A$56:$K$346,7,0)&amp;""</f>
        <v>Yes</v>
      </c>
      <c r="H243" s="192" t="str">
        <f>VLOOKUP($A243,'Institution Evaluation'!$A$56:$K$346,8,0)&amp;""</f>
        <v/>
      </c>
      <c r="I243" s="52" t="str">
        <f>VLOOKUP($A243,'Institution Evaluation'!$A$56:$K$346,9,0)&amp;""</f>
        <v>Standard Importance</v>
      </c>
      <c r="J243" s="193" t="str">
        <f>VLOOKUP($A243,'Institution Evaluation'!$A$56:$K$346,10,0)&amp;""</f>
        <v/>
      </c>
      <c r="K243" s="55" t="str">
        <f>IF(VLOOKUP($A243,'Institution Evaluation'!$A$56:$K$346,10,0)=TRUE,"Yes","")</f>
        <v/>
      </c>
    </row>
    <row r="244" spans="1:14" ht="90" x14ac:dyDescent="0.3">
      <c r="A244" s="25" t="s">
        <v>656</v>
      </c>
      <c r="B244" s="24" t="str">
        <f>VLOOKUP($A244,Questions!$A$2:$X$333,2,0)</f>
        <v>Can you provide a HIPAA compliance attestation document?</v>
      </c>
      <c r="C244" s="52" t="str">
        <f>VLOOKUP($A244,'Institution Evaluation'!$A$56:$K$346,3,0)&amp;""</f>
        <v/>
      </c>
      <c r="D244" s="52" t="str">
        <f>VLOOKUP($A244,'Institution Evaluation'!$A$56:$K$346,4,0)&amp;""</f>
        <v/>
      </c>
      <c r="E244" s="351" t="str">
        <f>VLOOKUP($A244,'Institution Evaluation'!$A$56:$K$346,5,0)&amp;""</f>
        <v>Based on the response to REQU-05 on the "START HERE" tab, this question does not apply to this product or service.</v>
      </c>
      <c r="F244" s="195" t="str">
        <f>VLOOKUP($A244,'Institution Evaluation'!$A$56:$K$346,6,0)&amp;""</f>
        <v/>
      </c>
      <c r="G244" s="37" t="str">
        <f>VLOOKUP($A244,'Institution Evaluation'!$A$56:$K$346,7,0)&amp;""</f>
        <v>Yes</v>
      </c>
      <c r="H244" s="192" t="str">
        <f>VLOOKUP($A244,'Institution Evaluation'!$A$56:$K$346,8,0)&amp;""</f>
        <v/>
      </c>
      <c r="I244" s="52" t="str">
        <f>VLOOKUP($A244,'Institution Evaluation'!$A$56:$K$346,9,0)&amp;""</f>
        <v>Standard Importance</v>
      </c>
      <c r="J244" s="193" t="str">
        <f>VLOOKUP($A244,'Institution Evaluation'!$A$56:$K$346,10,0)&amp;""</f>
        <v/>
      </c>
      <c r="K244" s="55" t="str">
        <f>IF(VLOOKUP($A244,'Institution Evaluation'!$A$56:$K$346,10,0)=TRUE,"Yes","")</f>
        <v/>
      </c>
    </row>
    <row r="245" spans="1:14" ht="90" x14ac:dyDescent="0.3">
      <c r="A245" s="25" t="s">
        <v>658</v>
      </c>
      <c r="B245" s="24" t="str">
        <f>VLOOKUP($A245,Questions!$A$2:$X$333,2,0)</f>
        <v>Are you willing to enter into a Business Associate Agreement (BAA)?</v>
      </c>
      <c r="C245" s="52" t="str">
        <f>VLOOKUP($A245,'Institution Evaluation'!$A$56:$K$346,3,0)&amp;""</f>
        <v/>
      </c>
      <c r="D245" s="52" t="str">
        <f>VLOOKUP($A245,'Institution Evaluation'!$A$56:$K$346,4,0)&amp;""</f>
        <v/>
      </c>
      <c r="E245" s="351" t="str">
        <f>VLOOKUP($A245,'Institution Evaluation'!$A$56:$K$346,5,0)&amp;""</f>
        <v>Based on the response to REQU-05 on the "START HERE" tab, this question does not apply to this product or service.</v>
      </c>
      <c r="F245" s="195" t="str">
        <f>VLOOKUP($A245,'Institution Evaluation'!$A$56:$K$346,6,0)&amp;""</f>
        <v/>
      </c>
      <c r="G245" s="37" t="str">
        <f>VLOOKUP($A245,'Institution Evaluation'!$A$56:$K$346,7,0)&amp;""</f>
        <v>Yes</v>
      </c>
      <c r="H245" s="192" t="str">
        <f>VLOOKUP($A245,'Institution Evaluation'!$A$56:$K$346,8,0)&amp;""</f>
        <v/>
      </c>
      <c r="I245" s="52" t="str">
        <f>VLOOKUP($A245,'Institution Evaluation'!$A$56:$K$346,9,0)&amp;""</f>
        <v>Standard Importance</v>
      </c>
      <c r="J245" s="193" t="str">
        <f>VLOOKUP($A245,'Institution Evaluation'!$A$56:$K$346,10,0)&amp;""</f>
        <v/>
      </c>
      <c r="K245" s="55" t="str">
        <f>IF(VLOOKUP($A245,'Institution Evaluation'!$A$56:$K$346,10,0)=TRUE,"Yes","")</f>
        <v/>
      </c>
    </row>
    <row r="246" spans="1:14" ht="90" x14ac:dyDescent="0.3">
      <c r="A246" s="25" t="s">
        <v>660</v>
      </c>
      <c r="B246" s="24" t="str">
        <f>VLOOKUP($A246,Questions!$A$2:$X$333,2,0)</f>
        <v>Do your data backup and retention policies and practices meet HIPAA requirements?</v>
      </c>
      <c r="C246" s="52" t="str">
        <f>VLOOKUP($A246,'Institution Evaluation'!$A$56:$K$346,3,0)&amp;""</f>
        <v/>
      </c>
      <c r="D246" s="52" t="str">
        <f>VLOOKUP($A246,'Institution Evaluation'!$A$56:$K$346,4,0)&amp;""</f>
        <v/>
      </c>
      <c r="E246" s="351" t="str">
        <f>VLOOKUP($A246,'Institution Evaluation'!$A$56:$K$346,5,0)&amp;""</f>
        <v>Based on the response to REQU-05 on the "START HERE" tab, this question does not apply to this product or service.</v>
      </c>
      <c r="F246" s="195" t="str">
        <f>VLOOKUP($A246,'Institution Evaluation'!$A$56:$K$346,6,0)&amp;""</f>
        <v/>
      </c>
      <c r="G246" s="37" t="str">
        <f>VLOOKUP($A246,'Institution Evaluation'!$A$56:$K$346,7,0)&amp;""</f>
        <v>Yes</v>
      </c>
      <c r="H246" s="192" t="str">
        <f>VLOOKUP($A246,'Institution Evaluation'!$A$56:$K$346,8,0)&amp;""</f>
        <v/>
      </c>
      <c r="I246" s="52" t="str">
        <f>VLOOKUP($A246,'Institution Evaluation'!$A$56:$K$346,9,0)&amp;""</f>
        <v>Minor Importance</v>
      </c>
      <c r="J246" s="193" t="str">
        <f>VLOOKUP($A246,'Institution Evaluation'!$A$56:$K$346,10,0)&amp;""</f>
        <v/>
      </c>
      <c r="K246" s="55" t="str">
        <f>IF(VLOOKUP($A246,'Institution Evaluation'!$A$56:$K$346,10,0)=TRUE,"Yes","")</f>
        <v/>
      </c>
    </row>
    <row r="247" spans="1:14" s="1" customFormat="1" ht="17.5" x14ac:dyDescent="0.25">
      <c r="A247" s="70" t="str">
        <f>VLOOKUP(LEFT($A248,4),'Auto Responses'!$N$4:$O$38,2,0)&amp;""</f>
        <v xml:space="preserve"> Payment Card Industry Data Security Standard (PCI DSS)</v>
      </c>
      <c r="B247" s="29"/>
      <c r="C247" s="38"/>
      <c r="D247" s="38"/>
      <c r="E247" s="352"/>
      <c r="F247" s="139" t="s">
        <v>1089</v>
      </c>
      <c r="G247" s="359" t="s">
        <v>925</v>
      </c>
      <c r="H247" s="359" t="s">
        <v>927</v>
      </c>
      <c r="I247" s="359" t="s">
        <v>19</v>
      </c>
      <c r="J247" s="359" t="s">
        <v>912</v>
      </c>
      <c r="K247" s="38"/>
    </row>
    <row r="248" spans="1:14" ht="90" x14ac:dyDescent="0.3">
      <c r="A248" s="25" t="s">
        <v>661</v>
      </c>
      <c r="B248" s="24" t="str">
        <f>VLOOKUP($A248,Questions!$A$2:$X$333,2,0)</f>
        <v>Do you have a current, executed within the past year, Attestation of Compliance (AoC) or Report on Compliance (RoC)?*</v>
      </c>
      <c r="C248" s="52" t="str">
        <f>VLOOKUP($A248,'Institution Evaluation'!$A$56:$K$346,3,0)&amp;""</f>
        <v/>
      </c>
      <c r="D248" s="52" t="str">
        <f>VLOOKUP($A248,'Institution Evaluation'!$A$56:$K$346,4,0)&amp;""</f>
        <v/>
      </c>
      <c r="E248" s="351" t="str">
        <f>VLOOKUP($A248,'Institution Evaluation'!$A$56:$K$346,5,0)&amp;""</f>
        <v>Based on the response to REQU-06 on the "START HERE" tab, this question does not apply to this product or service.</v>
      </c>
      <c r="F248" s="195" t="str">
        <f>VLOOKUP($A248,'Institution Evaluation'!$A$56:$K$346,6,0)&amp;""</f>
        <v/>
      </c>
      <c r="G248" s="37" t="str">
        <f>VLOOKUP($A248,'Institution Evaluation'!$A$56:$K$346,7,0)&amp;""</f>
        <v>Yes</v>
      </c>
      <c r="H248" s="192" t="str">
        <f>VLOOKUP($A248,'Institution Evaluation'!$A$56:$K$346,8,0)&amp;""</f>
        <v/>
      </c>
      <c r="I248" s="52" t="str">
        <f>VLOOKUP($A248,'Institution Evaluation'!$A$56:$K$346,9,0)&amp;""</f>
        <v>Critical Importance</v>
      </c>
      <c r="J248" s="193" t="str">
        <f>VLOOKUP($A248,'Institution Evaluation'!$A$56:$K$346,10,0)&amp;""</f>
        <v/>
      </c>
      <c r="K248" s="55" t="str">
        <f>IF(VLOOKUP($A248,'Institution Evaluation'!$A$56:$K$346,10,0)=TRUE,"Yes","")</f>
        <v/>
      </c>
      <c r="N248" s="67"/>
    </row>
    <row r="249" spans="1:14" ht="90" x14ac:dyDescent="0.3">
      <c r="A249" s="25" t="s">
        <v>665</v>
      </c>
      <c r="B249" s="24" t="str">
        <f>VLOOKUP($A249,Questions!$A$2:$X$333,2,0)</f>
        <v>Is the application listed as an approved Payment Application Data Security Standard (PA-DSS) application?*</v>
      </c>
      <c r="C249" s="52" t="str">
        <f>VLOOKUP($A249,'Institution Evaluation'!$A$56:$K$346,3,0)&amp;""</f>
        <v/>
      </c>
      <c r="D249" s="52" t="str">
        <f>VLOOKUP($A249,'Institution Evaluation'!$A$56:$K$346,4,0)&amp;""</f>
        <v/>
      </c>
      <c r="E249" s="351" t="str">
        <f>VLOOKUP($A249,'Institution Evaluation'!$A$56:$K$346,5,0)&amp;""</f>
        <v>Based on the response to REQU-06 on the "START HERE" tab, this question does not apply to this product or service.</v>
      </c>
      <c r="F249" s="195" t="str">
        <f>VLOOKUP($A249,'Institution Evaluation'!$A$56:$K$346,6,0)&amp;""</f>
        <v/>
      </c>
      <c r="G249" s="37" t="str">
        <f>VLOOKUP($A249,'Institution Evaluation'!$A$56:$K$346,7,0)&amp;""</f>
        <v>No</v>
      </c>
      <c r="H249" s="192" t="str">
        <f>VLOOKUP($A249,'Institution Evaluation'!$A$56:$K$346,8,0)&amp;""</f>
        <v/>
      </c>
      <c r="I249" s="52" t="str">
        <f>VLOOKUP($A249,'Institution Evaluation'!$A$56:$K$346,9,0)&amp;""</f>
        <v>Critical Importance</v>
      </c>
      <c r="J249" s="193" t="str">
        <f>VLOOKUP($A249,'Institution Evaluation'!$A$56:$K$346,10,0)&amp;""</f>
        <v/>
      </c>
      <c r="K249" s="55" t="str">
        <f>IF(VLOOKUP($A249,'Institution Evaluation'!$A$56:$K$346,10,0)=TRUE,"Yes","")</f>
        <v/>
      </c>
    </row>
    <row r="250" spans="1:14" ht="90" x14ac:dyDescent="0.3">
      <c r="A250" s="25" t="s">
        <v>667</v>
      </c>
      <c r="B250" s="24" t="str">
        <f>VLOOKUP($A250,Questions!$A$2:$X$333,2,0)</f>
        <v>Does the system or solutions use a third party to collect, store, process, or transmit cardholder (payment/credit/debt card) data?*</v>
      </c>
      <c r="C250" s="52" t="str">
        <f>VLOOKUP($A250,'Institution Evaluation'!$A$56:$K$346,3,0)&amp;""</f>
        <v/>
      </c>
      <c r="D250" s="52" t="str">
        <f>VLOOKUP($A250,'Institution Evaluation'!$A$56:$K$346,4,0)&amp;""</f>
        <v/>
      </c>
      <c r="E250" s="351" t="str">
        <f>VLOOKUP($A250,'Institution Evaluation'!$A$56:$K$346,5,0)&amp;""</f>
        <v>Based on the response to REQU-06 on the "START HERE" tab, this question does not apply to this product or service.</v>
      </c>
      <c r="F250" s="195" t="str">
        <f>VLOOKUP($A250,'Institution Evaluation'!$A$56:$K$346,6,0)&amp;""</f>
        <v/>
      </c>
      <c r="G250" s="37" t="str">
        <f>VLOOKUP($A250,'Institution Evaluation'!$A$56:$K$346,7,0)&amp;""</f>
        <v>No</v>
      </c>
      <c r="H250" s="192" t="str">
        <f>VLOOKUP($A250,'Institution Evaluation'!$A$56:$K$346,8,0)&amp;""</f>
        <v/>
      </c>
      <c r="I250" s="52" t="str">
        <f>VLOOKUP($A250,'Institution Evaluation'!$A$56:$K$346,9,0)&amp;""</f>
        <v>Critical Importance</v>
      </c>
      <c r="J250" s="193" t="str">
        <f>VLOOKUP($A250,'Institution Evaluation'!$A$56:$K$346,10,0)&amp;""</f>
        <v/>
      </c>
      <c r="K250" s="55" t="str">
        <f>IF(VLOOKUP($A250,'Institution Evaluation'!$A$56:$K$346,10,0)=TRUE,"Yes","")</f>
        <v/>
      </c>
    </row>
    <row r="251" spans="1:14" ht="90" x14ac:dyDescent="0.3">
      <c r="A251" s="25" t="s">
        <v>668</v>
      </c>
      <c r="B251" s="24" t="str">
        <f>VLOOKUP($A251,Questions!$A$2:$X$333,2,0)</f>
        <v>Do your systems or solutions store, process, or transmit cardholder (payment/credit/debt card) data?</v>
      </c>
      <c r="C251" s="52" t="str">
        <f>VLOOKUP($A251,'Institution Evaluation'!$A$56:$K$346,3,0)&amp;""</f>
        <v/>
      </c>
      <c r="D251" s="52" t="str">
        <f>VLOOKUP($A251,'Institution Evaluation'!$A$56:$K$346,4,0)&amp;""</f>
        <v/>
      </c>
      <c r="E251" s="351" t="str">
        <f>VLOOKUP($A251,'Institution Evaluation'!$A$56:$K$346,5,0)&amp;""</f>
        <v>Based on the response to REQU-06 on the "START HERE" tab, this question does not apply to this product or service.</v>
      </c>
      <c r="F251" s="195" t="str">
        <f>VLOOKUP($A251,'Institution Evaluation'!$A$56:$K$346,6,0)&amp;""</f>
        <v/>
      </c>
      <c r="G251" s="37" t="str">
        <f>VLOOKUP($A251,'Institution Evaluation'!$A$56:$K$346,7,0)&amp;""</f>
        <v>Yes</v>
      </c>
      <c r="H251" s="192" t="str">
        <f>VLOOKUP($A251,'Institution Evaluation'!$A$56:$K$346,8,0)&amp;""</f>
        <v/>
      </c>
      <c r="I251" s="52" t="str">
        <f>VLOOKUP($A251,'Institution Evaluation'!$A$56:$K$346,9,0)&amp;""</f>
        <v>Standard Importance</v>
      </c>
      <c r="J251" s="193" t="str">
        <f>VLOOKUP($A251,'Institution Evaluation'!$A$56:$K$346,10,0)&amp;""</f>
        <v/>
      </c>
      <c r="K251" s="55" t="str">
        <f>IF(VLOOKUP($A251,'Institution Evaluation'!$A$56:$K$346,10,0)=TRUE,"Yes","")</f>
        <v/>
      </c>
    </row>
    <row r="252" spans="1:14" ht="90" x14ac:dyDescent="0.3">
      <c r="A252" s="25" t="s">
        <v>670</v>
      </c>
      <c r="B252" s="24" t="str">
        <f>VLOOKUP($A252,Questions!$A$2:$X$333,2,0)</f>
        <v>Are you compliant with the Payment Card Industry Data Security Standard (PCI DSS)?</v>
      </c>
      <c r="C252" s="52" t="str">
        <f>VLOOKUP($A252,'Institution Evaluation'!$A$56:$K$346,3,0)&amp;""</f>
        <v/>
      </c>
      <c r="D252" s="52" t="str">
        <f>VLOOKUP($A252,'Institution Evaluation'!$A$56:$K$346,4,0)&amp;""</f>
        <v/>
      </c>
      <c r="E252" s="351" t="str">
        <f>VLOOKUP($A252,'Institution Evaluation'!$A$56:$K$346,5,0)&amp;""</f>
        <v>Based on the response to REQU-06 on the "START HERE" tab, this question does not apply to this product or service.</v>
      </c>
      <c r="F252" s="195" t="str">
        <f>VLOOKUP($A252,'Institution Evaluation'!$A$56:$K$346,6,0)&amp;""</f>
        <v/>
      </c>
      <c r="G252" s="37" t="str">
        <f>VLOOKUP($A252,'Institution Evaluation'!$A$56:$K$346,7,0)&amp;""</f>
        <v>Yes</v>
      </c>
      <c r="H252" s="192" t="str">
        <f>VLOOKUP($A252,'Institution Evaluation'!$A$56:$K$346,8,0)&amp;""</f>
        <v/>
      </c>
      <c r="I252" s="52" t="str">
        <f>VLOOKUP($A252,'Institution Evaluation'!$A$56:$K$346,9,0)&amp;""</f>
        <v>Standard Importance</v>
      </c>
      <c r="J252" s="193" t="str">
        <f>VLOOKUP($A252,'Institution Evaluation'!$A$56:$K$346,10,0)&amp;""</f>
        <v/>
      </c>
      <c r="K252" s="55" t="str">
        <f>IF(VLOOKUP($A252,'Institution Evaluation'!$A$56:$K$346,10,0)=TRUE,"Yes","")</f>
        <v/>
      </c>
    </row>
    <row r="253" spans="1:14" ht="90" x14ac:dyDescent="0.3">
      <c r="A253" s="25" t="s">
        <v>671</v>
      </c>
      <c r="B253" s="24" t="str">
        <f>VLOOKUP($A253,Questions!$A$2:$X$333,2,0)</f>
        <v>Are you classified as a service provider?</v>
      </c>
      <c r="C253" s="52" t="str">
        <f>VLOOKUP($A253,'Institution Evaluation'!$A$56:$K$346,3,0)&amp;""</f>
        <v/>
      </c>
      <c r="D253" s="52" t="str">
        <f>VLOOKUP($A253,'Institution Evaluation'!$A$56:$K$346,4,0)&amp;""</f>
        <v/>
      </c>
      <c r="E253" s="351" t="str">
        <f>VLOOKUP($A253,'Institution Evaluation'!$A$56:$K$346,5,0)&amp;""</f>
        <v>Based on the response to REQU-06 on the "START HERE" tab, this question does not apply to this product or service.</v>
      </c>
      <c r="F253" s="195" t="str">
        <f>VLOOKUP($A253,'Institution Evaluation'!$A$56:$K$346,6,0)&amp;""</f>
        <v/>
      </c>
      <c r="G253" s="37" t="str">
        <f>VLOOKUP($A253,'Institution Evaluation'!$A$56:$K$346,7,0)&amp;""</f>
        <v>Yes</v>
      </c>
      <c r="H253" s="192" t="str">
        <f>VLOOKUP($A253,'Institution Evaluation'!$A$56:$K$346,8,0)&amp;""</f>
        <v/>
      </c>
      <c r="I253" s="52" t="str">
        <f>VLOOKUP($A253,'Institution Evaluation'!$A$56:$K$346,9,0)&amp;""</f>
        <v>Standard Importance</v>
      </c>
      <c r="J253" s="193" t="str">
        <f>VLOOKUP($A253,'Institution Evaluation'!$A$56:$K$346,10,0)&amp;""</f>
        <v/>
      </c>
      <c r="K253" s="55" t="str">
        <f>IF(VLOOKUP($A253,'Institution Evaluation'!$A$56:$K$346,10,0)=TRUE,"Yes","")</f>
        <v/>
      </c>
    </row>
    <row r="254" spans="1:14" ht="90" x14ac:dyDescent="0.3">
      <c r="A254" s="25" t="s">
        <v>673</v>
      </c>
      <c r="B254" s="24" t="str">
        <f>VLOOKUP($A254,Questions!$A$2:$X$333,2,0)</f>
        <v>Are you on the list of Visa approved service providers?</v>
      </c>
      <c r="C254" s="52" t="str">
        <f>VLOOKUP($A254,'Institution Evaluation'!$A$56:$K$346,3,0)&amp;""</f>
        <v/>
      </c>
      <c r="D254" s="52" t="str">
        <f>VLOOKUP($A254,'Institution Evaluation'!$A$56:$K$346,4,0)&amp;""</f>
        <v/>
      </c>
      <c r="E254" s="351" t="str">
        <f>VLOOKUP($A254,'Institution Evaluation'!$A$56:$K$346,5,0)&amp;""</f>
        <v>Based on the response to REQU-06 on the "START HERE" tab, this question does not apply to this product or service.</v>
      </c>
      <c r="F254" s="195" t="str">
        <f>VLOOKUP($A254,'Institution Evaluation'!$A$56:$K$346,6,0)&amp;""</f>
        <v/>
      </c>
      <c r="G254" s="37" t="str">
        <f>VLOOKUP($A254,'Institution Evaluation'!$A$56:$K$346,7,0)&amp;""</f>
        <v>Yes</v>
      </c>
      <c r="H254" s="192" t="str">
        <f>VLOOKUP($A254,'Institution Evaluation'!$A$56:$K$346,8,0)&amp;""</f>
        <v/>
      </c>
      <c r="I254" s="52" t="str">
        <f>VLOOKUP($A254,'Institution Evaluation'!$A$56:$K$346,9,0)&amp;""</f>
        <v>Standard Importance</v>
      </c>
      <c r="J254" s="193" t="str">
        <f>VLOOKUP($A254,'Institution Evaluation'!$A$56:$K$346,10,0)&amp;""</f>
        <v/>
      </c>
      <c r="K254" s="55" t="str">
        <f>IF(VLOOKUP($A254,'Institution Evaluation'!$A$56:$K$346,10,0)=TRUE,"Yes","")</f>
        <v/>
      </c>
    </row>
    <row r="255" spans="1:14" ht="90" x14ac:dyDescent="0.3">
      <c r="A255" s="25" t="s">
        <v>675</v>
      </c>
      <c r="B255" s="24" t="str">
        <f>VLOOKUP($A255,Questions!$A$2:$X$333,2,0)</f>
        <v>Are you classified as a merchant? If so, what level (1, 2, 3, 4)?</v>
      </c>
      <c r="C255" s="52" t="str">
        <f>VLOOKUP($A255,'Institution Evaluation'!$A$56:$K$346,3,0)&amp;""</f>
        <v/>
      </c>
      <c r="D255" s="52" t="str">
        <f>VLOOKUP($A255,'Institution Evaluation'!$A$56:$K$346,4,0)&amp;""</f>
        <v/>
      </c>
      <c r="E255" s="351" t="str">
        <f>VLOOKUP($A255,'Institution Evaluation'!$A$56:$K$346,5,0)&amp;""</f>
        <v>Based on the response to REQU-06 on the "START HERE" tab, this question does not apply to this product or service.</v>
      </c>
      <c r="F255" s="195" t="str">
        <f>VLOOKUP($A255,'Institution Evaluation'!$A$56:$K$346,6,0)&amp;""</f>
        <v/>
      </c>
      <c r="G255" s="37" t="str">
        <f>VLOOKUP($A255,'Institution Evaluation'!$A$56:$K$346,7,0)&amp;""</f>
        <v>Yes</v>
      </c>
      <c r="H255" s="192" t="str">
        <f>VLOOKUP($A255,'Institution Evaluation'!$A$56:$K$346,8,0)&amp;""</f>
        <v/>
      </c>
      <c r="I255" s="52" t="str">
        <f>VLOOKUP($A255,'Institution Evaluation'!$A$56:$K$346,9,0)&amp;""</f>
        <v>Standard Importance</v>
      </c>
      <c r="J255" s="193" t="str">
        <f>VLOOKUP($A255,'Institution Evaluation'!$A$56:$K$346,10,0)&amp;""</f>
        <v/>
      </c>
      <c r="K255" s="55" t="str">
        <f>IF(VLOOKUP($A255,'Institution Evaluation'!$A$56:$K$346,10,0)=TRUE,"Yes","")</f>
        <v/>
      </c>
    </row>
    <row r="256" spans="1:14" ht="90" x14ac:dyDescent="0.3">
      <c r="A256" s="25" t="s">
        <v>677</v>
      </c>
      <c r="B256" s="24" t="str">
        <f>VLOOKUP($A256,Questions!$A$2:$X$333,2,0)</f>
        <v>Describe the architecture employed by the system to verify and authorize credit card transactions.</v>
      </c>
      <c r="C256" s="52" t="str">
        <f>VLOOKUP($A256,'Institution Evaluation'!$A$56:$K$346,3,0)&amp;""</f>
        <v/>
      </c>
      <c r="D256" s="52" t="str">
        <f>VLOOKUP($A256,'Institution Evaluation'!$A$56:$K$346,4,0)&amp;""</f>
        <v/>
      </c>
      <c r="E256" s="351" t="str">
        <f>VLOOKUP($A256,'Institution Evaluation'!$A$56:$K$346,5,0)&amp;""</f>
        <v>Based on the response to REQU-06 on the "START HERE" tab, this question does not apply to this product or service.</v>
      </c>
      <c r="F256" s="195" t="str">
        <f>VLOOKUP($A256,'Institution Evaluation'!$A$56:$K$346,6,0)&amp;""</f>
        <v/>
      </c>
      <c r="G256" s="37" t="str">
        <f>VLOOKUP($A256,'Institution Evaluation'!$A$56:$K$346,7,0)&amp;""</f>
        <v>Not scored</v>
      </c>
      <c r="H256" s="192" t="str">
        <f>VLOOKUP($A256,'Institution Evaluation'!$A$56:$K$346,8,0)&amp;""</f>
        <v/>
      </c>
      <c r="I256" s="52" t="str">
        <f>VLOOKUP($A256,'Institution Evaluation'!$A$56:$K$346,9,0)&amp;""</f>
        <v>Minor Importance</v>
      </c>
      <c r="J256" s="193" t="str">
        <f>VLOOKUP($A256,'Institution Evaluation'!$A$56:$K$346,10,0)&amp;""</f>
        <v/>
      </c>
      <c r="K256" s="55" t="str">
        <f>IF(VLOOKUP($A256,'Institution Evaluation'!$A$56:$K$346,10,0)=TRUE,"Yes","")</f>
        <v/>
      </c>
    </row>
    <row r="257" spans="1:13" ht="90" x14ac:dyDescent="0.3">
      <c r="A257" s="25" t="s">
        <v>678</v>
      </c>
      <c r="B257" s="24" t="str">
        <f>VLOOKUP($A257,Questions!$A$2:$X$333,2,0)</f>
        <v>What payment processors/gateways does the system support?</v>
      </c>
      <c r="C257" s="52" t="str">
        <f>VLOOKUP($A257,'Institution Evaluation'!$A$56:$K$346,3,0)&amp;""</f>
        <v/>
      </c>
      <c r="D257" s="52" t="str">
        <f>VLOOKUP($A257,'Institution Evaluation'!$A$56:$K$346,4,0)&amp;""</f>
        <v/>
      </c>
      <c r="E257" s="351" t="str">
        <f>VLOOKUP($A257,'Institution Evaluation'!$A$56:$K$346,5,0)&amp;""</f>
        <v>Based on the response to REQU-06 on the "START HERE" tab, this question does not apply to this product or service.</v>
      </c>
      <c r="F257" s="195" t="str">
        <f>VLOOKUP($A257,'Institution Evaluation'!$A$56:$K$346,6,0)&amp;""</f>
        <v/>
      </c>
      <c r="G257" s="37" t="str">
        <f>VLOOKUP($A257,'Institution Evaluation'!$A$56:$K$346,7,0)&amp;""</f>
        <v>Yes</v>
      </c>
      <c r="H257" s="192" t="str">
        <f>VLOOKUP($A257,'Institution Evaluation'!$A$56:$K$346,8,0)&amp;""</f>
        <v/>
      </c>
      <c r="I257" s="52" t="str">
        <f>VLOOKUP($A257,'Institution Evaluation'!$A$56:$K$346,9,0)&amp;""</f>
        <v>Minor Importance</v>
      </c>
      <c r="J257" s="193" t="str">
        <f>VLOOKUP($A257,'Institution Evaluation'!$A$56:$K$346,10,0)&amp;""</f>
        <v/>
      </c>
      <c r="K257" s="55" t="str">
        <f>IF(VLOOKUP($A257,'Institution Evaluation'!$A$56:$K$346,10,0)=TRUE,"Yes","")</f>
        <v/>
      </c>
    </row>
    <row r="258" spans="1:13" ht="90" x14ac:dyDescent="0.3">
      <c r="A258" s="25" t="s">
        <v>679</v>
      </c>
      <c r="B258" s="24" t="str">
        <f>VLOOKUP($A258,Questions!$A$2:$X$333,2,0)</f>
        <v>Can the application be installed in a PCI DSS–compliant manner?</v>
      </c>
      <c r="C258" s="52" t="str">
        <f>VLOOKUP($A258,'Institution Evaluation'!$A$56:$K$346,3,0)&amp;""</f>
        <v/>
      </c>
      <c r="D258" s="52" t="str">
        <f>VLOOKUP($A258,'Institution Evaluation'!$A$56:$K$346,4,0)&amp;""</f>
        <v/>
      </c>
      <c r="E258" s="351" t="str">
        <f>VLOOKUP($A258,'Institution Evaluation'!$A$56:$K$346,5,0)&amp;""</f>
        <v>Based on the response to REQU-06 on the "START HERE" tab, this question does not apply to this product or service.</v>
      </c>
      <c r="F258" s="195" t="str">
        <f>VLOOKUP($A258,'Institution Evaluation'!$A$56:$K$346,6,0)&amp;""</f>
        <v/>
      </c>
      <c r="G258" s="37" t="str">
        <f>VLOOKUP($A258,'Institution Evaluation'!$A$56:$K$346,7,0)&amp;""</f>
        <v>Yes</v>
      </c>
      <c r="H258" s="192" t="str">
        <f>VLOOKUP($A258,'Institution Evaluation'!$A$56:$K$346,8,0)&amp;""</f>
        <v/>
      </c>
      <c r="I258" s="52" t="str">
        <f>VLOOKUP($A258,'Institution Evaluation'!$A$56:$K$346,9,0)&amp;""</f>
        <v>Minor Importance</v>
      </c>
      <c r="J258" s="193" t="str">
        <f>VLOOKUP($A258,'Institution Evaluation'!$A$56:$K$346,10,0)&amp;""</f>
        <v/>
      </c>
      <c r="K258" s="55" t="str">
        <f>IF(VLOOKUP($A258,'Institution Evaluation'!$A$56:$K$346,10,0)=TRUE,"Yes","")</f>
        <v/>
      </c>
    </row>
    <row r="259" spans="1:13" ht="90" x14ac:dyDescent="0.25">
      <c r="A259" s="25" t="s">
        <v>680</v>
      </c>
      <c r="B259" s="24" t="str">
        <f>VLOOKUP($A259,Questions!$A$2:$X$333,2,0)</f>
        <v>Include documentation describing the system's abilities to comply with the PCI DSS and any features or capabilities of the system that must be added or changed in order to operate in compliance with the standards.</v>
      </c>
      <c r="C259" s="52" t="str">
        <f>VLOOKUP($A259,'Institution Evaluation'!$A$56:$K$346,3,0)&amp;""</f>
        <v/>
      </c>
      <c r="D259" s="52" t="str">
        <f>VLOOKUP($A259,'Institution Evaluation'!$A$56:$K$346,4,0)&amp;""</f>
        <v/>
      </c>
      <c r="E259" s="351" t="str">
        <f>VLOOKUP($A259,'Institution Evaluation'!$A$56:$K$346,5,0)&amp;""</f>
        <v>Based on the response to REQU-06 on the "START HERE" tab, this question does not apply to this product or service.</v>
      </c>
      <c r="F259" s="195" t="str">
        <f>VLOOKUP($A259,'Institution Evaluation'!$A$56:$K$346,6,0)&amp;""</f>
        <v/>
      </c>
      <c r="G259" s="37" t="str">
        <f>VLOOKUP($A259,'Institution Evaluation'!$A$56:$K$346,7,0)&amp;""</f>
        <v>Not scored</v>
      </c>
      <c r="H259" s="192" t="str">
        <f>VLOOKUP($A259,'Institution Evaluation'!$A$56:$K$346,8,0)&amp;""</f>
        <v/>
      </c>
      <c r="I259" s="52" t="str">
        <f>VLOOKUP($A259,'Institution Evaluation'!$A$56:$K$346,9,0)&amp;""</f>
        <v>Minor Importance</v>
      </c>
      <c r="J259" s="193" t="str">
        <f>VLOOKUP($A259,'Institution Evaluation'!$A$56:$K$346,10,0)&amp;""</f>
        <v/>
      </c>
      <c r="K259" s="55" t="str">
        <f>IF(VLOOKUP($A259,'Institution Evaluation'!$A$56:$K$346,10,0)=TRUE,"Yes","")</f>
        <v/>
      </c>
      <c r="M259" s="255" t="s">
        <v>1531</v>
      </c>
    </row>
    <row r="260" spans="1:13" ht="47.25" customHeight="1" x14ac:dyDescent="0.3">
      <c r="A260" s="285" t="s">
        <v>1593</v>
      </c>
    </row>
    <row r="261" spans="1:13" ht="34.5" hidden="1" customHeight="1" x14ac:dyDescent="0.3"/>
    <row r="262" spans="1:13" ht="34.5" hidden="1" customHeight="1" x14ac:dyDescent="0.3"/>
    <row r="263" spans="1:13" ht="34.5" hidden="1" customHeight="1" x14ac:dyDescent="0.3"/>
    <row r="264" spans="1:13" ht="34.5" hidden="1" customHeight="1" x14ac:dyDescent="0.3"/>
    <row r="265" spans="1:13" ht="34.5" hidden="1" customHeight="1" x14ac:dyDescent="0.3"/>
  </sheetData>
  <mergeCells count="1">
    <mergeCell ref="A19:C19"/>
  </mergeCells>
  <phoneticPr fontId="32" type="noConversion"/>
  <conditionalFormatting sqref="F21:G31">
    <cfRule type="dataBar" priority="2">
      <dataBar>
        <cfvo type="num" val="0"/>
        <cfvo type="num" val="1"/>
        <color rgb="FFD0DAF0"/>
      </dataBar>
      <extLst>
        <ext xmlns:x14="http://schemas.microsoft.com/office/spreadsheetml/2009/9/main" uri="{B025F937-C7B1-47D3-B67F-A62EFF666E3E}">
          <x14:id>{4165CB4E-F7AA-436A-8B40-909F03E9D6F5}</x14:id>
        </ext>
      </extLst>
    </cfRule>
  </conditionalFormatting>
  <conditionalFormatting sqref="H31:I31">
    <cfRule type="dataBar" priority="1">
      <dataBar>
        <cfvo type="num" val="0"/>
        <cfvo type="num" val="1"/>
        <color rgb="FF638EC6"/>
      </dataBar>
      <extLst>
        <ext xmlns:x14="http://schemas.microsoft.com/office/spreadsheetml/2009/9/main" uri="{B025F937-C7B1-47D3-B67F-A62EFF666E3E}">
          <x14:id>{A6716C0F-3CA2-4D89-8D49-37B22DBD9D1F}</x14:id>
        </ext>
      </extLst>
    </cfRule>
  </conditionalFormatting>
  <dataValidations count="3">
    <dataValidation allowBlank="1" showInputMessage="1" showErrorMessage="1" prompt="This answer has been populated from the &quot;START HERE&quot; tab and does not need to be re-entered." sqref="C11:C17" xr:uid="{F870502E-697A-4875-ABEE-C92B24B0607E}"/>
    <dataValidation allowBlank="1" showInputMessage="1" showErrorMessage="1" prompt="The HECVAT is built using a number of complex formulas. Editing this cell can break the functionality of the tool. " sqref="A11:B17 B20:I31 B2:J10 A3:A10 A35:K44" xr:uid="{2555B969-D0D6-4640-A68B-2B178F3C9EA5}"/>
    <dataValidation allowBlank="1" showInputMessage="1" showErrorMessage="1" promptTitle="Warning!" prompt="The HECVAT is built using a number of complex formulas. Editing this cell can break the functionality of the tool. " sqref="A45:E120 I46:I120 G46:G120 I130 G130 I135 G135 I142 G142 I145 G145 I150 G150 I160 G160 I164 G164 I170 G170 I173 G173 I189 G189 I192 G192 I199 G199 I207 G207 I212 G212 I217 G217 I247 G247" xr:uid="{2C8E55E6-5CCD-497E-AD40-1159ED4F899F}"/>
  </dataValidations>
  <hyperlinks>
    <hyperlink ref="G21" location="'Privacy Analyst Evaluation'!A47" display="'Privacy Analyst Evaluation'!A47" xr:uid="{63AE7EE6-A856-4AFE-84E3-761A880419C2}"/>
    <hyperlink ref="G22" location="'Privacy Analyst Evaluation'!A53" display="'Privacy Analyst Evaluation'!A53" xr:uid="{E48DA7E0-F9B4-4E44-A2E2-A6E7B20A8CB3}"/>
    <hyperlink ref="G23" location="'Privacy Analyst Evaluation'!A58" display="'Privacy Analyst Evaluation'!A58" xr:uid="{71C46F89-6396-41D0-9EE1-410192FC96D8}"/>
    <hyperlink ref="G24" location="'Privacy Analyst Evaluation'!A62" display="'Privacy Analyst Evaluation'!A62" xr:uid="{67BB4FB0-5A69-4CBB-9BE8-9F0E61D7541D}"/>
    <hyperlink ref="G30" location="'Privacy Analyst Evaluation'!A113" display="'Privacy Analyst Evaluation'!A113" xr:uid="{F35BA202-7B88-45D0-AE40-C6918C469BBD}"/>
    <hyperlink ref="G29" location="'Privacy Analyst Evaluation'!A97" display="'Privacy Analyst Evaluation'!A97" xr:uid="{1E69ABA0-B73D-4FBD-B382-D2A5BCE10F7A}"/>
    <hyperlink ref="G28" location="'Privacy Analyst Evaluation'!A91" display="'Privacy Analyst Evaluation'!A91" xr:uid="{418857A5-69F8-4BB3-8B8D-3CDF6F1A215E}"/>
    <hyperlink ref="G27" location="'Privacy Analyst Evaluation'!A77" display="'Privacy Analyst Evaluation'!A77" xr:uid="{0630B5DB-EBAC-43FF-AF48-6C77A23DEE58}"/>
    <hyperlink ref="G26" location="'Privacy Analyst Evaluation'!A68" display="'Privacy Analyst Evaluation'!A68" xr:uid="{EFF65815-977E-4867-AE1F-72F2A5AA3B38}"/>
    <hyperlink ref="G25" location="'Privacy Analyst Evaluation'!A65" display="'Privacy Analyst Evaluation'!A65" xr:uid="{96E450A2-66A4-4491-AD78-EB7F815A7B50}"/>
    <hyperlink ref="F247" location="'Privacy Analyst Evaluation'!A1" display="Back to Scorecard" xr:uid="{379AF5FC-674E-4EF2-A183-EE3548258B6D}"/>
    <hyperlink ref="F217" location="'Privacy Analyst Evaluation'!A1" display="Back to Scorecard" xr:uid="{C67BE28C-D43B-404A-9446-F2FB927C3E7D}"/>
    <hyperlink ref="F212" location="'Privacy Analyst Evaluation'!A1" display="Back to Scorecard" xr:uid="{FDF0B533-6B12-4240-A611-BD46DD733A41}"/>
    <hyperlink ref="F207" location="'Privacy Analyst Evaluation'!A1" display="Back to Scorecard" xr:uid="{82180CF4-FE4D-480A-969B-C66D2E194F77}"/>
    <hyperlink ref="F199" location="'Privacy Analyst Evaluation'!A1" display="Back to Scorecard" xr:uid="{F41B2A8E-BB52-403C-9CBB-F1D0D424C60A}"/>
    <hyperlink ref="F192" location="'Privacy Analyst Evaluation'!A1" display="Back to Scorecard" xr:uid="{5080AF1D-7713-4CDD-B46A-FAC872D2B645}"/>
    <hyperlink ref="F189" location="'Privacy Analyst Evaluation'!A1" display="Back to Scorecard" xr:uid="{8367AE48-344C-4DE1-B6C0-3D067CCF36E2}"/>
    <hyperlink ref="F173" location="'Privacy Analyst Evaluation'!A1" display="Back to Scorecard" xr:uid="{0E22E045-58AC-4F59-BFDC-B51EBADA4C9A}"/>
    <hyperlink ref="F170" location="'Privacy Analyst Evaluation'!A1" display="Back to Scorecard" xr:uid="{E80C8F95-67E8-4E83-8D91-72D89341206C}"/>
    <hyperlink ref="F164" location="'Privacy Analyst Evaluation'!A1" display="Back to Scorecard" xr:uid="{71950CE1-93EE-4A22-9EB3-B177163B8D19}"/>
    <hyperlink ref="F160" location="'Privacy Analyst Evaluation'!A1" display="Back to Scorecard" xr:uid="{1678DDD5-5AB1-4BBE-A892-86EE54E5749E}"/>
    <hyperlink ref="F150" location="'Privacy Analyst Evaluation'!A1" display="Back to Scorecard" xr:uid="{932496F6-EF1F-4F3B-9F23-795B54DC61EC}"/>
    <hyperlink ref="F145" location="'Privacy Analyst Evaluation'!A1" display="Back to Scorecard" xr:uid="{E0BBCE8C-F241-4CA0-8057-88431548B815}"/>
    <hyperlink ref="F142" location="'Privacy Analyst Evaluation'!A1" display="Back to Scorecard" xr:uid="{3D1FD166-7415-42C2-9D45-1943E83DE131}"/>
    <hyperlink ref="F135" location="'Privacy Analyst Evaluation'!A1" display="Back to Scorecard" xr:uid="{325A4D09-6C9C-42F7-AB78-2205A726B96B}"/>
    <hyperlink ref="F130" location="'Privacy Analyst Evaluation'!A1" display="Back to Scorecard" xr:uid="{9AFEC1C0-6DC4-4B69-93F1-D6FDD7FCD48F}"/>
    <hyperlink ref="F125" location="'Privacy Analyst Evaluation'!A1" display="Back to Scorecard" xr:uid="{FE56F838-F355-4EFA-AA58-FDACC5DA1138}"/>
    <hyperlink ref="F112" location="'Privacy Analyst Evaluation'!A1" display="Back to Scorecard" xr:uid="{AF1AD6D0-6E84-4FD7-8EB5-76E9501011EE}"/>
    <hyperlink ref="F96" location="'Privacy Analyst Evaluation'!A1" display="Back to Scorecard" xr:uid="{A557E4F2-C33F-4D8A-8B4F-9DDE8341D067}"/>
    <hyperlink ref="F90" location="'Privacy Analyst Evaluation'!A1" display="Back to Scorecard" xr:uid="{1FA36500-AAD2-4FE6-8ED2-BE24426EA2F8}"/>
    <hyperlink ref="F76" location="'Privacy Analyst Evaluation'!A1" display="Back to Scorecard" xr:uid="{A141E48B-0E50-4B02-A927-F8C1FE04F9A3}"/>
    <hyperlink ref="F67" location="'Privacy Analyst Evaluation'!A1" display="Back to Scorecard" xr:uid="{CD2D9C18-9B95-420F-A65A-8C4E1DB820F9}"/>
    <hyperlink ref="F64" location="'Privacy Analyst Evaluation'!A1" display="Back to Scorecard" xr:uid="{56505024-37B2-4CF5-9238-CD47476405E1}"/>
    <hyperlink ref="F61" location="'Privacy Analyst Evaluation'!A1" display="Back to Scorecard" xr:uid="{1EED68A2-7306-4410-BCD6-552F19D3621B}"/>
    <hyperlink ref="F57" location="'Privacy Analyst Evaluation'!A1" display="Back to Scorecard" xr:uid="{14E0627B-E487-44E4-B6BD-71F7BE3606BD}"/>
    <hyperlink ref="F52" location="'Privacy Analyst Evaluation'!A1" display="Back to Scorecard" xr:uid="{89E54AE8-F912-4EF5-93C4-BAFBAC5571B2}"/>
    <hyperlink ref="F46" location="'Privacy Analyst Evaluation'!A1" display="Back to Scorecard" xr:uid="{6732EEEC-E41C-4D05-A8BB-7A6FDC560186}"/>
    <hyperlink ref="A10" r:id="rId1" display="http://www.educause.edu/HECVAT" xr:uid="{F4B2EBCC-D744-4488-8E73-490FA2185475}"/>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165CB4E-F7AA-436A-8B40-909F03E9D6F5}">
            <x14:dataBar minLength="0" maxLength="100" gradient="0" direction="leftToRight" axisPosition="none">
              <x14:cfvo type="num">
                <xm:f>0</xm:f>
              </x14:cfvo>
              <x14:cfvo type="num">
                <xm:f>1</xm:f>
              </x14:cfvo>
              <x14:negativeFillColor rgb="FFFF0000"/>
            </x14:dataBar>
          </x14:cfRule>
          <xm:sqref>F21:G31</xm:sqref>
        </x14:conditionalFormatting>
        <x14:conditionalFormatting xmlns:xm="http://schemas.microsoft.com/office/excel/2006/main">
          <x14:cfRule type="dataBar" id="{A6716C0F-3CA2-4D89-8D49-37B22DBD9D1F}">
            <x14:dataBar minLength="0" maxLength="100" gradient="0" direction="leftToRight" axisPosition="none">
              <x14:cfvo type="num">
                <xm:f>0</xm:f>
              </x14:cfvo>
              <x14:cfvo type="num">
                <xm:f>1</xm:f>
              </x14:cfvo>
              <x14:negativeFillColor rgb="FFFF0000"/>
            </x14:dataBar>
          </x14:cfRule>
          <xm:sqref>H31:I31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1CDF9FA-EF26-4CA9-9DED-D51F5F3EE73E}">
          <x14:formula1>
            <xm:f>'Auto Responses'!$J$7:$J$8</xm:f>
          </x14:formula1>
          <xm:sqref>H97:H111 H47:H51 H53:H56 H58:H60 H62:H63 H65:H66 H68:H75 H77:H89 H91:H95 H113:H120</xm:sqref>
        </x14:dataValidation>
        <x14:dataValidation type="list" allowBlank="1" showInputMessage="1" showErrorMessage="1" xr:uid="{C0805B23-116E-488E-B5C7-4B565A9E1283}">
          <x14:formula1>
            <xm:f>'Auto Responses'!$J$11:$J$14</xm:f>
          </x14:formula1>
          <xm:sqref>J97:J111 J47:J51 J53:J56 J58:J60 J62:J63 J65:J66 J68:J75 J77:J89 J91:J95 J113:J120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0A68-79C7-495B-8ACA-8313C2E55678}">
  <sheetPr>
    <tabColor rgb="FF7ECCA0"/>
  </sheetPr>
  <dimension ref="A1:F376"/>
  <sheetViews>
    <sheetView showZeros="0" topLeftCell="A2" zoomScale="80" zoomScaleNormal="80" workbookViewId="0">
      <selection activeCell="A2" sqref="A2"/>
    </sheetView>
  </sheetViews>
  <sheetFormatPr defaultColWidth="0" defaultRowHeight="15" zeroHeight="1" x14ac:dyDescent="0.25"/>
  <cols>
    <col min="1" max="1" width="11.06640625" style="62" customWidth="1"/>
    <col min="2" max="2" width="57.796875" style="59" customWidth="1"/>
    <col min="3" max="3" width="71.06640625" style="60" customWidth="1"/>
    <col min="4" max="4" width="80.265625" style="61" customWidth="1"/>
    <col min="5" max="5" width="6.59765625" style="62" customWidth="1"/>
    <col min="6" max="6" width="0" style="62" hidden="1" customWidth="1"/>
    <col min="7" max="16384" width="6.59765625" style="62" hidden="1"/>
  </cols>
  <sheetData>
    <row r="1" spans="1:5" ht="180" hidden="1" x14ac:dyDescent="0.25">
      <c r="A1" s="62" t="s">
        <v>1535</v>
      </c>
    </row>
    <row r="2" spans="1:5" ht="24.5" x14ac:dyDescent="0.3">
      <c r="A2" s="188" t="s">
        <v>998</v>
      </c>
      <c r="B2" s="188"/>
      <c r="C2" s="188"/>
      <c r="D2" s="286" t="s">
        <v>1593</v>
      </c>
    </row>
    <row r="3" spans="1:5" ht="17.5" x14ac:dyDescent="0.3">
      <c r="A3" s="250" t="s">
        <v>1090</v>
      </c>
      <c r="B3" s="72"/>
      <c r="C3" s="72"/>
      <c r="D3" s="287"/>
    </row>
    <row r="4" spans="1:5" ht="17.5" x14ac:dyDescent="0.3">
      <c r="A4" s="252" t="s">
        <v>1595</v>
      </c>
      <c r="B4" s="72"/>
      <c r="C4" s="72"/>
      <c r="D4" s="287"/>
    </row>
    <row r="5" spans="1:5" s="254" customFormat="1" ht="17.5" x14ac:dyDescent="0.3">
      <c r="A5" s="253" t="s">
        <v>1527</v>
      </c>
      <c r="B5" s="72"/>
      <c r="C5" s="72"/>
      <c r="D5" s="287"/>
    </row>
    <row r="6" spans="1:5" s="254" customFormat="1" ht="17.5" x14ac:dyDescent="0.3">
      <c r="A6" s="253" t="s">
        <v>1528</v>
      </c>
      <c r="B6" s="72"/>
      <c r="C6" s="72"/>
      <c r="D6" s="288"/>
    </row>
    <row r="7" spans="1:5" ht="17.5" x14ac:dyDescent="0.3">
      <c r="A7" s="251" t="str">
        <f>VLOOKUP(LEFT($A8,4),'Auto Responses'!$N$4:$O$38,2,0)&amp;""</f>
        <v xml:space="preserve"> General Information</v>
      </c>
      <c r="B7" s="70"/>
      <c r="C7" s="63" t="str">
        <f>Questions!$S$2</f>
        <v>Reason for Question</v>
      </c>
      <c r="D7" s="63" t="str">
        <f>Questions!$T$2</f>
        <v>Follow-Up Inquiries/Responses</v>
      </c>
    </row>
    <row r="8" spans="1:5" x14ac:dyDescent="0.3">
      <c r="A8" s="64" t="s">
        <v>21</v>
      </c>
      <c r="B8" s="64" t="str">
        <f>VLOOKUP($A8,Questions!$A$3:$X$333,2,0)&amp;""</f>
        <v>Solution Provider Name</v>
      </c>
      <c r="C8" s="64" t="str">
        <f>VLOOKUP($A8,Questions!$A$3:$X$333,19,0)&amp;""</f>
        <v/>
      </c>
      <c r="D8" s="64" t="str">
        <f>VLOOKUP($A8,Questions!$A$3:$X$333,20,0)&amp;""</f>
        <v/>
      </c>
    </row>
    <row r="9" spans="1:5" x14ac:dyDescent="0.3">
      <c r="A9" s="64" t="s">
        <v>24</v>
      </c>
      <c r="B9" s="64" t="str">
        <f>VLOOKUP($A9,Questions!$A$3:$X$333,2,0)&amp;""</f>
        <v>Solution Name</v>
      </c>
      <c r="C9" s="64" t="str">
        <f>VLOOKUP($A9,Questions!$A$3:$X$333,19,0)&amp;""</f>
        <v/>
      </c>
      <c r="D9" s="64" t="str">
        <f>VLOOKUP($A9,Questions!$A$3:$X$333,20,0)&amp;""</f>
        <v/>
      </c>
    </row>
    <row r="10" spans="1:5" x14ac:dyDescent="0.3">
      <c r="A10" s="64" t="s">
        <v>25</v>
      </c>
      <c r="B10" s="64" t="str">
        <f>VLOOKUP($A10,Questions!$A$3:$X$333,2,0)&amp;""</f>
        <v>Solution Description</v>
      </c>
      <c r="C10" s="64" t="str">
        <f>VLOOKUP($A10,Questions!$A$3:$X$333,19,0)&amp;""</f>
        <v/>
      </c>
      <c r="D10" s="64" t="str">
        <f>VLOOKUP($A10,Questions!$A$3:$X$333,20,0)&amp;""</f>
        <v/>
      </c>
    </row>
    <row r="11" spans="1:5" x14ac:dyDescent="0.3">
      <c r="A11" s="64" t="s">
        <v>26</v>
      </c>
      <c r="B11" s="64" t="str">
        <f>VLOOKUP($A11,Questions!$A$3:$X$333,2,0)&amp;""</f>
        <v>Solution Provider Contact Name</v>
      </c>
      <c r="C11" s="64" t="str">
        <f>VLOOKUP($A11,Questions!$A$3:$X$333,19,0)&amp;""</f>
        <v/>
      </c>
      <c r="D11" s="64" t="str">
        <f>VLOOKUP($A11,Questions!$A$3:$X$333,20,0)&amp;""</f>
        <v/>
      </c>
    </row>
    <row r="12" spans="1:5" x14ac:dyDescent="0.3">
      <c r="A12" s="64" t="s">
        <v>27</v>
      </c>
      <c r="B12" s="64" t="str">
        <f>VLOOKUP($A12,Questions!$A$3:$X$333,2,0)&amp;""</f>
        <v>Solution Provider Contact Title</v>
      </c>
      <c r="C12" s="64" t="str">
        <f>VLOOKUP($A12,Questions!$A$3:$X$333,19,0)&amp;""</f>
        <v/>
      </c>
      <c r="D12" s="64" t="str">
        <f>VLOOKUP($A12,Questions!$A$3:$X$333,20,0)&amp;""</f>
        <v/>
      </c>
    </row>
    <row r="13" spans="1:5" x14ac:dyDescent="0.3">
      <c r="A13" s="64" t="s">
        <v>28</v>
      </c>
      <c r="B13" s="64" t="str">
        <f>VLOOKUP($A13,Questions!$A$3:$X$333,2,0)&amp;""</f>
        <v>Solution Provider Contact Email</v>
      </c>
      <c r="C13" s="64" t="str">
        <f>VLOOKUP($A13,Questions!$A$3:$X$333,19,0)&amp;""</f>
        <v/>
      </c>
      <c r="D13" s="64" t="str">
        <f>VLOOKUP($A13,Questions!$A$3:$X$333,20,0)&amp;""</f>
        <v/>
      </c>
    </row>
    <row r="14" spans="1:5" x14ac:dyDescent="0.3">
      <c r="A14" s="64" t="s">
        <v>29</v>
      </c>
      <c r="B14" s="64" t="str">
        <f>VLOOKUP($A14,Questions!$A$3:$X$333,2,0)&amp;""</f>
        <v>Solution Provider Contact Phone Number</v>
      </c>
      <c r="C14" s="64" t="str">
        <f>VLOOKUP($A14,Questions!$A$3:$X$333,19,0)&amp;""</f>
        <v/>
      </c>
      <c r="D14" s="64" t="str">
        <f>VLOOKUP($A14,Questions!$A$3:$X$333,20,0)&amp;""</f>
        <v/>
      </c>
    </row>
    <row r="15" spans="1:5" x14ac:dyDescent="0.3">
      <c r="A15" s="64" t="s">
        <v>30</v>
      </c>
      <c r="B15" s="64" t="str">
        <f>VLOOKUP($A15,Questions!$A$3:$X$333,2,0)&amp;""</f>
        <v>Country of Company Headquarters</v>
      </c>
      <c r="C15" s="64" t="str">
        <f>VLOOKUP($A15,Questions!$A$3:$X$333,19,0)&amp;""</f>
        <v/>
      </c>
      <c r="D15" s="64" t="str">
        <f>VLOOKUP($A15,Questions!$A$3:$X$333,20,0)&amp;""</f>
        <v/>
      </c>
    </row>
    <row r="16" spans="1:5" x14ac:dyDescent="0.25">
      <c r="A16" s="64" t="s">
        <v>32</v>
      </c>
      <c r="B16" s="64" t="str">
        <f>VLOOKUP($A16,Questions!$A$3:$X$333,2,0)&amp;""</f>
        <v>Employee Work Locations (all)</v>
      </c>
      <c r="C16" s="64" t="str">
        <f>VLOOKUP($A16,Questions!$A$3:$X$333,19,0)&amp;""</f>
        <v>Determines where solution provider employees will be physically located.</v>
      </c>
      <c r="D16" s="64" t="str">
        <f>VLOOKUP($A16,Questions!$A$3:$X$333,20,0)&amp;""</f>
        <v>Follow-up inquiries will be institution/implementation specific.</v>
      </c>
      <c r="E16" s="258" t="s">
        <v>1536</v>
      </c>
    </row>
    <row r="17" spans="1:5" ht="17.5" x14ac:dyDescent="0.3">
      <c r="A17" s="70" t="str">
        <f>VLOOKUP(LEFT($A18,4),'Auto Responses'!$N$4:$O$38,2,0)&amp;""</f>
        <v xml:space="preserve"> Company Information</v>
      </c>
      <c r="B17" s="70"/>
      <c r="C17" s="63" t="str">
        <f>Questions!$S$2</f>
        <v>Reason for Question</v>
      </c>
      <c r="D17" s="63" t="str">
        <f>Questions!$T$2</f>
        <v>Follow-Up Inquiries/Responses</v>
      </c>
    </row>
    <row r="18" spans="1:5" ht="67.5" x14ac:dyDescent="0.3">
      <c r="A18" s="64" t="s">
        <v>35</v>
      </c>
      <c r="B18" s="64" t="str">
        <f>VLOOKUP($A18,Questions!$A$3:$X$333,2,0)&amp;""</f>
        <v>Do you have a dedicated software and system development team(s) (e.g., customer support, implementation, product management, etc.)?*</v>
      </c>
      <c r="C18" s="64" t="str">
        <f>VLOOKUP($A18,Questions!$A$3:$X$333,19,0)&amp;""</f>
        <v>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v>
      </c>
      <c r="D18" s="64" t="str">
        <f>VLOOKUP($A18,Questions!$A$3:$X$333,20,0)&amp;""</f>
        <v>Follow-up inquiries for solution provider team strategies will be unique to your institution and may depend on the underlying infrastructures needed to support a system for your specific use case.</v>
      </c>
    </row>
    <row r="19" spans="1:5" ht="43.5" customHeight="1" x14ac:dyDescent="0.3">
      <c r="A19" s="64" t="s">
        <v>42</v>
      </c>
      <c r="B19" s="64" t="str">
        <f>VLOOKUP($A19,Questions!$A$3:$X$333,2,0)&amp;""</f>
        <v>Describe your organization’s business background and ownership structure, including all parent and subsidiary relationships.</v>
      </c>
      <c r="C19" s="64" t="str">
        <f>VLOOKUP($A19,Questions!$A$3:$X$333,19,0)&amp;""</f>
        <v>This information defines the scale of company (support, resources, skillsets), general information about the organization that may be concerning.</v>
      </c>
      <c r="D19" s="64" t="str">
        <f>VLOOKUP($A19,Questions!$A$3:$X$333,20,0)&amp;""</f>
        <v>Follow-up responses to this one are normally unique to their response. Vague answers here usually result in some footprinting of a solution provider to determine their "reputation."</v>
      </c>
    </row>
    <row r="20" spans="1:5" ht="67.5" customHeight="1" x14ac:dyDescent="0.3">
      <c r="A20" s="64" t="s">
        <v>44</v>
      </c>
      <c r="B20" s="64" t="str">
        <f>VLOOKUP($A20,Questions!$A$3:$X$333,2,0)&amp;""</f>
        <v>Have you operated without unplanned disruptions to this solution in the past 12 months?</v>
      </c>
      <c r="C20" s="64" t="str">
        <f>VLOOKUP($A20,Questions!$A$3:$X$333,19,0)&amp;""</f>
        <v>We want transparency from the solution provider, and an honest answer to this question, regardless of the response, is a good step in building trust.</v>
      </c>
      <c r="D20" s="64" t="str">
        <f>VLOOKUP($A20,Questions!$A$3:$X$333,20,0)&amp;""</f>
        <v>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v>
      </c>
    </row>
    <row r="21" spans="1:5" ht="67.5" customHeight="1" x14ac:dyDescent="0.3">
      <c r="A21" s="64" t="s">
        <v>45</v>
      </c>
      <c r="B21" s="64" t="str">
        <f>VLOOKUP($A21,Questions!$A$3:$X$333,2,0)&amp;""</f>
        <v>Do you have a dedicated information security staff or office?</v>
      </c>
      <c r="C21" s="64" t="str">
        <f>VLOOKUP($A21,Questions!$A$3:$X$333,19,0)&amp;""</f>
        <v>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v>
      </c>
      <c r="D21" s="64" t="str">
        <f>VLOOKUP($A21,Questions!$A$3:$X$333,20,0)&amp;""</f>
        <v>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v>
      </c>
    </row>
    <row r="22" spans="1:5" ht="64.5" customHeight="1" x14ac:dyDescent="0.25">
      <c r="A22" s="64" t="s">
        <v>47</v>
      </c>
      <c r="B22" s="64" t="str">
        <f>VLOOKUP($A22,Questions!$A$3:$X$333,2,0)&amp;""</f>
        <v>Use this area to share information about your environment that will assist those who are assessing your company's data security program.</v>
      </c>
      <c r="C22" s="64" t="str">
        <f>VLOOKUP($A22,Questions!$A$3:$X$333,19,0)&amp;""</f>
        <v>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v>
      </c>
      <c r="D22" s="64" t="str">
        <f>VLOOKUP($A22,Questions!$A$3:$X$333,20,0)&amp;""</f>
        <v>This is a freebie to help the solution provider state their case. If a solution provider does not add anything here (or it is just sales stuff), we can assume it was filled out by a sales engineer and questions will be evaluated with higher scrutiny.</v>
      </c>
      <c r="E22" s="258" t="s">
        <v>1536</v>
      </c>
    </row>
    <row r="23" spans="1:5" ht="17.5" x14ac:dyDescent="0.3">
      <c r="A23" s="70" t="str">
        <f>VLOOKUP(LEFT($A24,4),'Auto Responses'!$N$4:$O$38,2,0)&amp;""</f>
        <v xml:space="preserve"> Required Questions</v>
      </c>
      <c r="B23" s="70"/>
      <c r="C23" s="63" t="str">
        <f>Questions!$S$2</f>
        <v>Reason for Question</v>
      </c>
      <c r="D23" s="63" t="str">
        <f>Questions!$T$2</f>
        <v>Follow-Up Inquiries/Responses</v>
      </c>
    </row>
    <row r="24" spans="1:5" s="320" customFormat="1" ht="17.5" x14ac:dyDescent="0.3">
      <c r="A24" s="321" t="s">
        <v>1601</v>
      </c>
      <c r="B24" s="318"/>
      <c r="C24" s="319"/>
      <c r="D24" s="319"/>
    </row>
    <row r="25" spans="1:5" ht="36.75" customHeight="1" x14ac:dyDescent="0.3">
      <c r="A25" s="64" t="s">
        <v>48</v>
      </c>
      <c r="B25" s="64" t="str">
        <f>VLOOKUP($A25,Questions!$A$3:$X$333,2,0)&amp;""</f>
        <v>Are you offering either a product or platform, as opposed to only offering a service</v>
      </c>
      <c r="C25" s="64" t="s">
        <v>1566</v>
      </c>
      <c r="D25" s="64" t="str">
        <f>VLOOKUP($A25,Questions!$A$3:$X$333,19,0)&amp;""</f>
        <v/>
      </c>
    </row>
    <row r="26" spans="1:5" ht="38.25" customHeight="1" x14ac:dyDescent="0.3">
      <c r="A26" s="64" t="s">
        <v>51</v>
      </c>
      <c r="B26" s="64" t="str">
        <f>VLOOKUP($A26,Questions!$A$3:$X$333,2,0)&amp;""</f>
        <v>Does your product or service have an interface?</v>
      </c>
      <c r="C26" s="64" t="s">
        <v>1567</v>
      </c>
      <c r="D26" s="64" t="str">
        <f>VLOOKUP($A26,Questions!$A$3:$X$333,19,0)&amp;""</f>
        <v/>
      </c>
    </row>
    <row r="27" spans="1:5" x14ac:dyDescent="0.3">
      <c r="A27" s="64" t="s">
        <v>54</v>
      </c>
      <c r="B27" s="64" t="str">
        <f>VLOOKUP($A27,Questions!$A$3:$X$333,2,0)&amp;""</f>
        <v>Are you providing consulting services?</v>
      </c>
      <c r="C27" s="64" t="s">
        <v>1568</v>
      </c>
      <c r="D27" s="64" t="str">
        <f>VLOOKUP($A27,Questions!$A$3:$X$333,19,0)&amp;""</f>
        <v/>
      </c>
    </row>
    <row r="28" spans="1:5" ht="27" x14ac:dyDescent="0.3">
      <c r="A28" s="64" t="s">
        <v>58</v>
      </c>
      <c r="B28" s="64" t="str">
        <f>VLOOKUP($A28,Questions!$A$3:$X$333,2,0)&amp;""</f>
        <v>Does your solution have AI features, or are there plans to implement AI features in the next 12 months?</v>
      </c>
      <c r="C28" s="64" t="s">
        <v>1569</v>
      </c>
      <c r="D28" s="64" t="str">
        <f>VLOOKUP($A28,Questions!$A$3:$X$333,19,0)&amp;""</f>
        <v/>
      </c>
    </row>
    <row r="29" spans="1:5" ht="40.5" x14ac:dyDescent="0.3">
      <c r="A29" s="64" t="s">
        <v>61</v>
      </c>
      <c r="B29" s="64" t="str">
        <f>VLOOKUP($A29,Questions!$A$3:$X$333,2,0)&amp;""</f>
        <v>Does your solution process protected health information (PHI) or any data covered by the Health Insurance Portability and Accountability Act (HIPAA)?</v>
      </c>
      <c r="C29" s="64" t="s">
        <v>1570</v>
      </c>
      <c r="D29" s="64" t="str">
        <f>VLOOKUP($A29,Questions!$A$3:$X$333,19,0)&amp;""</f>
        <v/>
      </c>
    </row>
    <row r="30" spans="1:5" ht="33.75" customHeight="1" x14ac:dyDescent="0.3">
      <c r="A30" s="64" t="s">
        <v>64</v>
      </c>
      <c r="B30" s="64" t="str">
        <f>VLOOKUP($A30,Questions!$A$3:$X$333,2,0)&amp;""</f>
        <v>Is the solution designed to process, store, or transmit credit card information?</v>
      </c>
      <c r="C30" s="64" t="s">
        <v>1571</v>
      </c>
      <c r="D30" s="64" t="str">
        <f>VLOOKUP($A30,Questions!$A$3:$X$333,19,0)&amp;""</f>
        <v/>
      </c>
    </row>
    <row r="31" spans="1:5" ht="66.75" customHeight="1" x14ac:dyDescent="0.25">
      <c r="A31" s="64" t="s">
        <v>67</v>
      </c>
      <c r="B31" s="64" t="str">
        <f>VLOOKUP($A31,Questions!$A$3:$X$333,2,0)&amp;""</f>
        <v>Does operating your solution require the institution to operate a physical or virtual appliance in their own environment or to provide inbound firewall exceptions to allow your employees to remotely administer systems in the institution's environment?</v>
      </c>
      <c r="C31" s="64" t="s">
        <v>1572</v>
      </c>
      <c r="D31" s="64" t="str">
        <f>VLOOKUP($A31,Questions!$A$3:$X$333,19,0)&amp;""</f>
        <v/>
      </c>
      <c r="E31" s="258" t="s">
        <v>1536</v>
      </c>
    </row>
    <row r="32" spans="1:5" ht="17.5" x14ac:dyDescent="0.3">
      <c r="A32" s="70" t="str">
        <f>VLOOKUP(LEFT($A33,4),'Auto Responses'!$N$4:$O$38,2,0)&amp;""</f>
        <v xml:space="preserve"> Documentation</v>
      </c>
      <c r="B32" s="70"/>
      <c r="C32" s="63" t="str">
        <f>Questions!$S$2</f>
        <v>Reason for Question</v>
      </c>
      <c r="D32" s="63" t="str">
        <f>Questions!$T$2</f>
        <v>Follow-Up Inquiries/Responses</v>
      </c>
    </row>
    <row r="33" spans="1:5" ht="42" customHeight="1" x14ac:dyDescent="0.3">
      <c r="A33" s="64" t="s">
        <v>70</v>
      </c>
      <c r="B33" s="64" t="str">
        <f>VLOOKUP($A33,Questions!$A$3:$X$333,2,0)&amp;""</f>
        <v>Do you have a well-documented business continuity plan (BCP), with a clear owner, that is tested annually?*</v>
      </c>
      <c r="C33" s="64" t="str">
        <f>VLOOKUP($A33,Questions!$A$3:$X$333,19,0)&amp;""</f>
        <v/>
      </c>
      <c r="D33" s="64" t="str">
        <f>VLOOKUP($A33,Questions!$A$3:$X$333,20,0)&amp;""</f>
        <v/>
      </c>
    </row>
    <row r="34" spans="1:5" ht="38.25" customHeight="1" x14ac:dyDescent="0.3">
      <c r="A34" s="64" t="s">
        <v>76</v>
      </c>
      <c r="B34" s="64" t="str">
        <f>VLOOKUP($A34,Questions!$A$3:$X$333,2,0)&amp;""</f>
        <v>Do you have a well-documented disaster recovery plan (DRP), with a clear owner, that is tested annually?*</v>
      </c>
      <c r="C34" s="64" t="str">
        <f>VLOOKUP($A34,Questions!$A$3:$X$333,19,0)&amp;""</f>
        <v/>
      </c>
      <c r="D34" s="64" t="str">
        <f>VLOOKUP($A34,Questions!$A$3:$X$333,20,0)&amp;""</f>
        <v/>
      </c>
    </row>
    <row r="35" spans="1:5" ht="35.25" customHeight="1" x14ac:dyDescent="0.3">
      <c r="A35" s="64" t="s">
        <v>77</v>
      </c>
      <c r="B35" s="64" t="str">
        <f>VLOOKUP($A35,Questions!$A$3:$X$333,2,0)&amp;""</f>
        <v>Have you undergone a SSAE 18/SOC 2 audit?</v>
      </c>
      <c r="C35" s="64" t="str">
        <f>VLOOKUP($A35,Questions!$A$3:$X$333,19,0)&amp;""</f>
        <v>SSAE 18 and SOC2 audits are standard documentation, relevant to institutions requiring a solution provider to undergo SSAE 18 audits.</v>
      </c>
      <c r="D35" s="64" t="str">
        <f>VLOOKUP($A35,Questions!$A$3:$X$333,20,0)&amp;""</f>
        <v>Follow-up inquiries for SSAE 18 content will be institution/implementation specific.</v>
      </c>
    </row>
    <row r="36" spans="1:5" ht="54" x14ac:dyDescent="0.3">
      <c r="A36" s="64" t="s">
        <v>80</v>
      </c>
      <c r="B36" s="64" t="str">
        <f>VLOOKUP($A36,Questions!$A$3:$X$333,2,0)&amp;""</f>
        <v>Do you conform with a specific industry standard security framework (e.g., NIST Cybersecurity Framework, CIS Controls, ISO 27001, etc.)?</v>
      </c>
      <c r="C36" s="64" t="str">
        <f>VLOOKUP($A36,Questions!$A$3:$X$333,19,0)&amp;""</f>
        <v>The details of the standard are not the focus here; it is the fact that a solution provider builds their environment around a standard and that they continually evaluate and assess their security programs.</v>
      </c>
      <c r="D36" s="64" t="str">
        <f>VLOOKUP($A36,Questions!$A$3:$X$333,20,0)&amp;""</f>
        <v>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v>
      </c>
    </row>
    <row r="37" spans="1:5" ht="64.5" customHeight="1" x14ac:dyDescent="0.3">
      <c r="A37" s="64" t="s">
        <v>84</v>
      </c>
      <c r="B37" s="64" t="str">
        <f>VLOOKUP($A37,Questions!$A$3:$X$333,2,0)&amp;""</f>
        <v>Can you provide overall system and/or application architecture diagrams, including a full description of the data flow for all components of the system?</v>
      </c>
      <c r="C37" s="64" t="str">
        <f>VLOOKUP($A37,Questions!$A$3:$X$333,19,0)&amp;""</f>
        <v>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v>
      </c>
      <c r="D37" s="64" t="str">
        <f>VLOOKUP($A37,Questions!$A$3:$X$333,20,0)&amp;""</f>
        <v>Inquire about any privacy language the solution provider may have. It may not be ideal but there may be something available to assess or enough to have your legal counsel or policy/privacy professionals review.</v>
      </c>
    </row>
    <row r="38" spans="1:5" ht="63.75" customHeight="1" x14ac:dyDescent="0.3">
      <c r="A38" s="64" t="s">
        <v>88</v>
      </c>
      <c r="B38" s="64" t="str">
        <f>VLOOKUP($A38,Questions!$A$3:$X$333,2,0)&amp;""</f>
        <v>Does your organization have a data privacy policy?</v>
      </c>
      <c r="C38" s="64" t="str">
        <f>VLOOKUP($A38,Questions!$A$3:$X$333,19,0)&amp;""</f>
        <v>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v>
      </c>
      <c r="D38" s="64" t="str">
        <f>VLOOKUP($A38,Questions!$A$3:$X$333,20,0)&amp;""</f>
        <v>Inquire about any privacy language the solution provider may have. It may not be ideal but there may be something available to assess or enough to have your legal counsel or policy/privacy professionals review.</v>
      </c>
    </row>
    <row r="39" spans="1:5" ht="78" customHeight="1" x14ac:dyDescent="0.25">
      <c r="A39" s="64" t="s">
        <v>92</v>
      </c>
      <c r="B39" s="64" t="str">
        <f>VLOOKUP($A39,Questions!$A$3:$X$333,2,0)&amp;""</f>
        <v>Do you have a documented, and currently implemented, employee onboarding and offboarding policy?</v>
      </c>
      <c r="C39" s="64" t="str">
        <f>VLOOKUP($A39,Questions!$A$3:$X$333,19,0)&amp;""</f>
        <v>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v>
      </c>
      <c r="D39" s="64" t="str">
        <f>VLOOKUP($A39,Questions!$A$3:$X$333,20,0)&amp;""</f>
        <v>Unsatisfactory answers should be met with questions about access control authority, roles and responsibilities (of access grantors), administrative privileges within the solution provider's infrastructure(s), etc.</v>
      </c>
      <c r="E39" s="258" t="s">
        <v>1536</v>
      </c>
    </row>
    <row r="40" spans="1:5" ht="17.5" x14ac:dyDescent="0.3">
      <c r="A40" s="70" t="str">
        <f>VLOOKUP(LEFT($A41,4),'Auto Responses'!$N$4:$O$38,2,0)&amp;""</f>
        <v xml:space="preserve"> IT Accessibility</v>
      </c>
      <c r="B40" s="70"/>
      <c r="C40" s="63" t="str">
        <f>Questions!$S$2</f>
        <v>Reason for Question</v>
      </c>
      <c r="D40" s="63" t="str">
        <f>Questions!$T$2</f>
        <v>Follow-Up Inquiries/Responses</v>
      </c>
    </row>
    <row r="41" spans="1:5" x14ac:dyDescent="0.3">
      <c r="A41" s="64" t="s">
        <v>93</v>
      </c>
      <c r="B41" s="64" t="str">
        <f>VLOOKUP($A41,Questions!$A$3:$X$333,2,0)&amp;""</f>
        <v>Solution Provider Accessibility Contact Name</v>
      </c>
      <c r="C41" s="64" t="str">
        <f>VLOOKUP($A41,Questions!$A$3:$X$333,19,0)&amp;""</f>
        <v/>
      </c>
      <c r="D41" s="64" t="str">
        <f>VLOOKUP($A41,Questions!$A$3:$X$333,20,0)&amp;""</f>
        <v/>
      </c>
    </row>
    <row r="42" spans="1:5" x14ac:dyDescent="0.3">
      <c r="A42" s="64" t="s">
        <v>94</v>
      </c>
      <c r="B42" s="64" t="str">
        <f>VLOOKUP($A42,Questions!$A$3:$X$333,2,0)&amp;""</f>
        <v>Solution Provider Accessibility Contact Title</v>
      </c>
      <c r="C42" s="64" t="str">
        <f>VLOOKUP($A42,Questions!$A$3:$X$333,19,0)&amp;""</f>
        <v/>
      </c>
      <c r="D42" s="64" t="str">
        <f>VLOOKUP($A42,Questions!$A$3:$X$333,20,0)&amp;""</f>
        <v/>
      </c>
    </row>
    <row r="43" spans="1:5" x14ac:dyDescent="0.3">
      <c r="A43" s="64" t="s">
        <v>95</v>
      </c>
      <c r="B43" s="64" t="str">
        <f>VLOOKUP($A43,Questions!$A$3:$X$333,2,0)&amp;""</f>
        <v>Solution Provider Accessibility Contact Email</v>
      </c>
      <c r="C43" s="64" t="str">
        <f>VLOOKUP($A43,Questions!$A$3:$X$333,19,0)&amp;""</f>
        <v/>
      </c>
      <c r="D43" s="64" t="str">
        <f>VLOOKUP($A43,Questions!$A$3:$X$333,20,0)&amp;""</f>
        <v/>
      </c>
    </row>
    <row r="44" spans="1:5" x14ac:dyDescent="0.3">
      <c r="A44" s="64" t="s">
        <v>96</v>
      </c>
      <c r="B44" s="64" t="str">
        <f>VLOOKUP($A44,Questions!$A$3:$X$333,2,0)&amp;""</f>
        <v>Solution Provider Accessibility Contact Phone Number</v>
      </c>
      <c r="C44" s="64" t="str">
        <f>VLOOKUP($A44,Questions!$A$3:$X$333,19,0)&amp;""</f>
        <v/>
      </c>
      <c r="D44" s="64" t="str">
        <f>VLOOKUP($A44,Questions!$A$3:$X$333,20,0)&amp;""</f>
        <v/>
      </c>
    </row>
    <row r="45" spans="1:5" x14ac:dyDescent="0.3">
      <c r="A45" s="64" t="s">
        <v>97</v>
      </c>
      <c r="B45" s="64" t="str">
        <f>VLOOKUP($A45,Questions!$A$3:$X$333,2,0)&amp;""</f>
        <v>Web Link to Accessibility Statement or VPAT</v>
      </c>
      <c r="C45" s="64" t="str">
        <f>VLOOKUP($A45,Questions!$A$3:$X$333,19,0)&amp;""</f>
        <v/>
      </c>
      <c r="D45" s="64" t="str">
        <f>VLOOKUP($A45,Questions!$A$3:$X$333,20,0)&amp;""</f>
        <v/>
      </c>
    </row>
    <row r="46" spans="1:5" ht="81" x14ac:dyDescent="0.3">
      <c r="A46" s="64" t="s">
        <v>101</v>
      </c>
      <c r="B46" s="64" t="str">
        <f>VLOOKUP($A46,Questions!$A$3:$X$333,2,0)&amp;""</f>
        <v>Has a VPAT or ACR been created or updated for the solution and version under consideration within the past 12 months?*</v>
      </c>
      <c r="C46" s="64" t="str">
        <f>VLOOKUP($A46,Questions!$A$3:$X$333,19,0)&amp;""</f>
        <v>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v>
      </c>
      <c r="D46" s="64" t="str">
        <f>VLOOKUP($A46,Questions!$A$3:$X$333,20,0)&amp;""</f>
        <v>Cross-reference Accessibility Conformance Reports (ACR) with any answers from ITAC-14 about product roadmaps for accessibility improvements.</v>
      </c>
    </row>
    <row r="47" spans="1:5" ht="55.5" customHeight="1" x14ac:dyDescent="0.3">
      <c r="A47" s="64" t="s">
        <v>103</v>
      </c>
      <c r="B47" s="64" t="str">
        <f>VLOOKUP($A47,Questions!$A$3:$X$333,2,0)&amp;""</f>
        <v>Will your company agree to meet your stated accessibility standard or WCAG 2.1 AA as part of your contractual agreement for the solution?*</v>
      </c>
      <c r="C47" s="64" t="str">
        <f>VLOOKUP($A47,Questions!$A$3:$X$333,19,0)&amp;""</f>
        <v xml:space="preserve">Federal regulation requires that technology products conform to WCAG 2.1 AA. Technology platforms that do not substantially conform to this standard put schools at risk of not complying with these requirements. </v>
      </c>
      <c r="D47" s="64" t="str">
        <f>VLOOKUP($A47,Questions!$A$3:$X$333,20,0)&amp;""</f>
        <v/>
      </c>
    </row>
    <row r="48" spans="1:5" ht="70.5" customHeight="1" x14ac:dyDescent="0.3">
      <c r="A48" s="64" t="s">
        <v>106</v>
      </c>
      <c r="B48" s="64" t="str">
        <f>VLOOKUP($A48,Questions!$A$3:$X$333,2,0)&amp;""</f>
        <v>Does the solution substantially conform to WCAG 2.1 AA?*</v>
      </c>
      <c r="C48" s="64" t="str">
        <f>VLOOKUP($A48,Questions!$A$3:$X$333,19,0)&amp;""</f>
        <v xml:space="preserve">Federal regulation requires that technology products conform to WCAG 2.1 AA. Technology platforms that do not substantially conform to this standard put schools at risk of not complying with these requirements. </v>
      </c>
      <c r="D48" s="64" t="str">
        <f>VLOOKUP($A48,Questions!$A$3:$X$333,20,0)&amp;""</f>
        <v/>
      </c>
    </row>
    <row r="49" spans="1:5" ht="36" customHeight="1" x14ac:dyDescent="0.3">
      <c r="A49" s="64" t="s">
        <v>108</v>
      </c>
      <c r="B49" s="64" t="str">
        <f>VLOOKUP($A49,Questions!$A$3:$X$333,2,0)&amp;""</f>
        <v>Do you have a documented and implemented process for reporting and tracking accessibility issues?*</v>
      </c>
      <c r="C49" s="64" t="str">
        <f>VLOOKUP($A49,Questions!$A$3:$X$333,19,0)&amp;""</f>
        <v/>
      </c>
      <c r="D49" s="64" t="str">
        <f>VLOOKUP($A49,Questions!$A$3:$X$333,20,0)&amp;""</f>
        <v>What is the prioritization of accessibility issues received, and how are they tracked? Is there a regular cadence for tracking and addressing accessibility barriers?</v>
      </c>
    </row>
    <row r="50" spans="1:5" ht="78.75" customHeight="1" x14ac:dyDescent="0.3">
      <c r="A50" s="64" t="s">
        <v>111</v>
      </c>
      <c r="B50" s="64" t="str">
        <f>VLOOKUP($A50,Questions!$A$3:$X$333,2,0)&amp;""</f>
        <v>Do you have documentation to support the accessibility features of your solution?</v>
      </c>
      <c r="C50" s="64" t="str">
        <f>VLOOKUP($A50,Questions!$A$3:$X$333,19,0)&amp;""</f>
        <v>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v>
      </c>
      <c r="D50" s="64" t="str">
        <f>VLOOKUP($A50,Questions!$A$3:$X$333,20,0)&amp;""</f>
        <v>If claims are made about accessibility and there is no supporting documentation on how they can be achieved, ensure that intended configurations and uses of the product in question were assessed for any accessibility documentation or claims.</v>
      </c>
    </row>
    <row r="51" spans="1:5" ht="64.5" customHeight="1" x14ac:dyDescent="0.3">
      <c r="A51" s="64" t="s">
        <v>112</v>
      </c>
      <c r="B51" s="64" t="str">
        <f>VLOOKUP($A51,Questions!$A$3:$X$333,2,0)&amp;""</f>
        <v>Has a third-party expert conducted an audit of the most recent version of your solution?</v>
      </c>
      <c r="C51" s="64" t="str">
        <f>VLOOKUP($A51,Questions!$A$3:$X$333,19,0)&amp;""</f>
        <v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v>
      </c>
      <c r="D51" s="64" t="str">
        <f>VLOOKUP($A51,Questions!$A$3:$X$333,20,0)&amp;""</f>
        <v/>
      </c>
    </row>
    <row r="52" spans="1:5" ht="109.5" customHeight="1" x14ac:dyDescent="0.3">
      <c r="A52" s="64" t="s">
        <v>113</v>
      </c>
      <c r="B52" s="64" t="str">
        <f>VLOOKUP($A52,Questions!$A$3:$X$333,2,0)&amp;""</f>
        <v>Do you have a documented and implemented process for verifying accessibility conformance?</v>
      </c>
      <c r="C52" s="64" t="str">
        <f>VLOOKUP($A52,Questions!$A$3:$X$333,19,0)&amp;""</f>
        <v>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v>
      </c>
      <c r="D52" s="64" t="str">
        <f>VLOOKUP($A52,Questions!$A$3:$X$333,20,0)&amp;""</f>
        <v/>
      </c>
    </row>
    <row r="53" spans="1:5" ht="65.25" customHeight="1" x14ac:dyDescent="0.3">
      <c r="A53" s="64" t="s">
        <v>114</v>
      </c>
      <c r="B53" s="64" t="str">
        <f>VLOOKUP($A53,Questions!$A$3:$X$333,2,0)&amp;""</f>
        <v>Have you adopted a technical or legal standard of conformance for the solution?</v>
      </c>
      <c r="C53" s="64" t="str">
        <f>VLOOKUP($A53,Questions!$A$3:$X$333,19,0)&amp;""</f>
        <v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v>
      </c>
      <c r="D53" s="64" t="str">
        <f>VLOOKUP($A53,Questions!$A$3:$X$333,20,0)&amp;""</f>
        <v/>
      </c>
    </row>
    <row r="54" spans="1:5" ht="63.75" customHeight="1" x14ac:dyDescent="0.3">
      <c r="A54" s="64" t="s">
        <v>116</v>
      </c>
      <c r="B54" s="64" t="str">
        <f>VLOOKUP($A54,Questions!$A$3:$X$333,2,0)&amp;""</f>
        <v>Can you provide a current, detailed accessibility roadmap with delivery timelines?</v>
      </c>
      <c r="C54" s="64" t="str">
        <f>VLOOKUP($A54,Questions!$A$3:$X$333,19,0)&amp;""</f>
        <v>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v>
      </c>
      <c r="D54" s="64" t="str">
        <f>VLOOKUP($A54,Questions!$A$3:$X$333,20,0)&amp;""</f>
        <v>If no roadmap is available, seek additional information from the solution provider such as release notes that address accessibility and any feedback from users that address the accessibility of the solution.</v>
      </c>
    </row>
    <row r="55" spans="1:5" ht="71.25" customHeight="1" x14ac:dyDescent="0.3">
      <c r="A55" s="64" t="s">
        <v>120</v>
      </c>
      <c r="B55" s="64" t="str">
        <f>VLOOKUP($A55,Questions!$A$3:$X$333,2,0)&amp;""</f>
        <v>Do you expect your staff to maintain a current skill set in IT accessibility?</v>
      </c>
      <c r="C55" s="64" t="str">
        <f>VLOOKUP($A55,Questions!$A$3:$X$333,19,0)&amp;""</f>
        <v>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v>
      </c>
      <c r="D55" s="64" t="str">
        <f>VLOOKUP($A55,Questions!$A$3:$X$333,20,0)&amp;""</f>
        <v/>
      </c>
    </row>
    <row r="56" spans="1:5" ht="51" customHeight="1" x14ac:dyDescent="0.3">
      <c r="A56" s="64" t="s">
        <v>123</v>
      </c>
      <c r="B56" s="64" t="str">
        <f>VLOOKUP($A56,Questions!$A$3:$X$333,2,0)&amp;""</f>
        <v>Do you have documented processes and procedures for implementing accessibility into your development lifecycle?</v>
      </c>
      <c r="C56" s="64" t="str">
        <f>VLOOKUP($A56,Questions!$A$3:$X$333,19,0)&amp;""</f>
        <v>This question is designed to understand how accessibility is included in new versions and features of solutions, particularly with solution providers that implement Agile or similar methodologies where software is updated frequently and continuously.</v>
      </c>
      <c r="D56" s="64" t="str">
        <f>VLOOKUP($A56,Questions!$A$3:$X$333,20,0)&amp;""</f>
        <v/>
      </c>
    </row>
    <row r="57" spans="1:5" ht="52.5" customHeight="1" x14ac:dyDescent="0.3">
      <c r="A57" s="64" t="s">
        <v>126</v>
      </c>
      <c r="B57" s="64" t="str">
        <f>VLOOKUP($A57,Questions!$A$3:$X$333,2,0)&amp;""</f>
        <v>Can all functions of the application or service be performed using only the keyboard?</v>
      </c>
      <c r="C57" s="64" t="str">
        <f>VLOOKUP($A57,Questions!$A$3:$X$333,19,0)&amp;""</f>
        <v>One critical accessibility requirement is the full use of a product using only the keyboard, -no mouse or trackpad. This requirement is easy for a nontechnical or non-accessibility expert to understand and verify.</v>
      </c>
      <c r="D57" s="64" t="str">
        <f>VLOOKUP($A57,Questions!$A$3:$X$333,20,0)&amp;""</f>
        <v>To confirm keyboard-only claims, follow the how-to at Minimum Expectations for applications webpage &lt;https://go.iu.edu/minimum-expectations&gt; from Indiana University or reference WebAIM’s Keyboard Testing guidance &lt;https://webaim.org/techniques/keyboard/#testing&gt;.</v>
      </c>
    </row>
    <row r="58" spans="1:5" ht="67.5" x14ac:dyDescent="0.25">
      <c r="A58" s="64" t="s">
        <v>129</v>
      </c>
      <c r="B58" s="64" t="str">
        <f>VLOOKUP($A58,Questions!$A$3:$X$333,2,0)&amp;""</f>
        <v>Does your product rely on activating a special "accessibility mode," a "lite version," or using an alternate interface (including “overlay” or AI-based alternates)  for accessibility purposes?</v>
      </c>
      <c r="C58" s="64" t="str">
        <f>VLOOKUP($A58,Questions!$A$3:$X$333,19,0)&amp;""</f>
        <v>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v>
      </c>
      <c r="D58" s="64" t="str">
        <f>VLOOKUP($A58,Questions!$A$3:$X$333,20,0)&amp;""</f>
        <v/>
      </c>
      <c r="E58" s="258" t="s">
        <v>1536</v>
      </c>
    </row>
    <row r="59" spans="1:5" ht="17.5" x14ac:dyDescent="0.3">
      <c r="A59" s="70" t="str">
        <f>VLOOKUP(LEFT($A60,4),'Auto Responses'!$N$4:$O$38,2,0)&amp;""</f>
        <v xml:space="preserve"> Assessment of Third Parties</v>
      </c>
      <c r="B59" s="70"/>
      <c r="C59" s="63" t="str">
        <f>Questions!$S$2</f>
        <v>Reason for Question</v>
      </c>
      <c r="D59" s="63" t="str">
        <f>Questions!$T$2</f>
        <v>Follow-Up Inquiries/Responses</v>
      </c>
    </row>
    <row r="60" spans="1:5" ht="65.25" customHeight="1" x14ac:dyDescent="0.3">
      <c r="A60" s="64" t="s">
        <v>130</v>
      </c>
      <c r="B60" s="64" t="str">
        <f>VLOOKUP($A60,Questions!$A$3:$X$333,2,0)&amp;""</f>
        <v>Do you perform security assessments of third-party companies with which you share data (e.g., hosting providers, cloud services, PaaS, IaaS, SaaS)?*</v>
      </c>
      <c r="C60" s="64" t="str">
        <f>VLOOKUP($A60,Questions!$A$3:$X$333,19,0)&amp;""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60" s="64" t="str">
        <f>VLOOKUP($A60,Questions!$A$3:$X$333,20,0)&amp;""</f>
        <v>Follow up with a robust question set if the solution provider cannot clearly state full control of the integrity of their system(s). Questions about administrator access on end-user devices and other maintenance and patching type questions are appropriate.</v>
      </c>
    </row>
    <row r="61" spans="1:5" ht="52.5" customHeight="1" x14ac:dyDescent="0.3">
      <c r="A61" s="64" t="s">
        <v>134</v>
      </c>
      <c r="B61" s="64" t="str">
        <f>VLOOKUP($A61,Questions!$A$3:$X$333,2,0)&amp;""</f>
        <v>Do you have contractual language in place with third parties governing access to institutional data?*</v>
      </c>
      <c r="C61" s="64" t="str">
        <f>VLOOKUP($A61,Questions!$A$3:$X$333,19,0)&amp;""</f>
        <v>The sharing of institutional data to fourth-parties may increase the risk to the institutation and thus, we want to know who gets what data, when they get that data, and why they get that data.</v>
      </c>
      <c r="D61" s="64" t="str">
        <f>VLOOKUP($A61,Questions!$A$3:$X$333,20,0)&amp;""</f>
        <v>Follow-up inquiries concerning third-party data sharing will be institution/implementation specific.</v>
      </c>
    </row>
    <row r="62" spans="1:5" ht="36" customHeight="1" x14ac:dyDescent="0.3">
      <c r="A62" s="64" t="s">
        <v>137</v>
      </c>
      <c r="B62" s="64" t="str">
        <f>VLOOKUP($A62,Questions!$A$3:$X$333,2,0)&amp;""</f>
        <v>Do the contracts in place with these third parties address liability in the event of a data breach?*</v>
      </c>
      <c r="C62" s="64" t="str">
        <f>VLOOKUP($A62,Questions!$A$3:$X$333,19,0)&amp;""</f>
        <v>Knowing the protections and legal agreements in place for third-party data sharing may assist analysts in determininng residual risk.</v>
      </c>
      <c r="D62" s="64" t="str">
        <f>VLOOKUP($A62,Questions!$A$3:$X$333,20,0)&amp;""</f>
        <v>Follow-up inquiries concerning legal agreements with third parties will be institution/implementation specific.</v>
      </c>
    </row>
    <row r="63" spans="1:5" ht="131.25" customHeight="1" x14ac:dyDescent="0.3">
      <c r="A63" s="64" t="s">
        <v>138</v>
      </c>
      <c r="B63" s="64" t="str">
        <f>VLOOKUP($A63,Questions!$A$3:$X$333,2,0)&amp;""</f>
        <v>Do you have an implemented third-party management strategy?*</v>
      </c>
      <c r="C63" s="64" t="str">
        <f>VLOOKUP($A63,Questions!$A$3:$X$333,19,0)&amp;""</f>
        <v>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63" s="64" t="str">
        <f>VLOOKUP($A63,Questions!$A$3:$X$333,20,0)&amp;""</f>
        <v>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v>
      </c>
    </row>
    <row r="64" spans="1:5" ht="75" customHeight="1" x14ac:dyDescent="0.25">
      <c r="A64" s="64" t="s">
        <v>141</v>
      </c>
      <c r="B64" s="64" t="str">
        <f>VLOOKUP($A64,Questions!$A$3:$X$333,2,0)&amp;""</f>
        <v>Do you have a process and implemented procedures for managing your hardware supply chain (e.g., telecommunications equipment, export licensing, computing devices)?</v>
      </c>
      <c r="C64" s="64" t="str">
        <f>VLOOKUP($A64,Questions!$A$3:$X$333,19,0)&amp;""</f>
        <v>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64" s="64" t="str">
        <f>VLOOKUP($A64,Questions!$A$3:$X$333,20,0)&amp;""</f>
        <v>Follow-up inquiries concerning hardware supply chain will be institution/implementation specific.</v>
      </c>
      <c r="E64" s="258" t="s">
        <v>1536</v>
      </c>
    </row>
    <row r="65" spans="1:5" ht="17.5" x14ac:dyDescent="0.3">
      <c r="A65" s="70" t="str">
        <f>VLOOKUP(LEFT($A66,4),'Auto Responses'!$N$4:$O$38,2,0)&amp;""</f>
        <v xml:space="preserve"> Consulting Services</v>
      </c>
      <c r="B65" s="70"/>
      <c r="C65" s="63" t="str">
        <f>Questions!$S$2</f>
        <v>Reason for Question</v>
      </c>
      <c r="D65" s="63" t="str">
        <f>Questions!$T$2</f>
        <v>Follow-Up Inquiries/Responses</v>
      </c>
    </row>
    <row r="66" spans="1:5" ht="65.25" customHeight="1" x14ac:dyDescent="0.3">
      <c r="A66" s="64" t="s">
        <v>146</v>
      </c>
      <c r="B66" s="64" t="str">
        <f>VLOOKUP($A66,Questions!$A$3:$X$333,2,0)&amp;""</f>
        <v>Will the consultant require access to the institution's network resources?*</v>
      </c>
      <c r="C66" s="64" t="str">
        <f>VLOOKUP($A66,Questions!$A$3:$X$333,19,0)&amp;""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6" s="64" t="str">
        <f>VLOOKUP($A66,Questions!$A$3:$X$333,20,0)&amp;""</f>
        <v>Follow-up inquiries will be institution/implementation specific.</v>
      </c>
    </row>
    <row r="67" spans="1:5" ht="66.75" customHeight="1" x14ac:dyDescent="0.3">
      <c r="A67" s="64" t="s">
        <v>150</v>
      </c>
      <c r="B67" s="64" t="str">
        <f>VLOOKUP($A67,Questions!$A$3:$X$333,2,0)&amp;""</f>
        <v>Has the consultant received training on (sensitive, HIPAA, PCI, etc.) data handling?*</v>
      </c>
      <c r="C67" s="64" t="str">
        <f>VLOOKUP($A67,Questions!$A$3:$X$333,19,0)&amp;""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7" s="64" t="str">
        <f>VLOOKUP($A67,Questions!$A$3:$X$333,20,0)&amp;""</f>
        <v>Follow-up inquiries will be institution/implementation specific.</v>
      </c>
    </row>
    <row r="68" spans="1:5" ht="68.25" customHeight="1" x14ac:dyDescent="0.3">
      <c r="A68" s="64" t="s">
        <v>151</v>
      </c>
      <c r="B68" s="64" t="str">
        <f>VLOOKUP($A68,Questions!$A$3:$X$333,2,0)&amp;""</f>
        <v>Is the data encrypted (at rest) while in the consultant's possession?*</v>
      </c>
      <c r="C68" s="64" t="str">
        <f>VLOOKUP($A68,Questions!$A$3:$X$333,19,0)&amp;""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8" s="64" t="str">
        <f>VLOOKUP($A68,Questions!$A$3:$X$333,20,0)&amp;""</f>
        <v>Follow-up inquiries will be institution/implementation specific.</v>
      </c>
    </row>
    <row r="69" spans="1:5" ht="65.25" customHeight="1" x14ac:dyDescent="0.3">
      <c r="A69" s="64" t="s">
        <v>153</v>
      </c>
      <c r="B69" s="64" t="str">
        <f>VLOOKUP($A69,Questions!$A$3:$X$333,2,0)&amp;""</f>
        <v>Can access be restricted based on source IP address?*</v>
      </c>
      <c r="C69" s="64" t="str">
        <f>VLOOKUP($A69,Questions!$A$3:$X$333,19,0)&amp;""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69" s="64" t="str">
        <f>VLOOKUP($A69,Questions!$A$3:$X$333,20,0)&amp;""</f>
        <v>Follow-up inquiries will be institution/implementation specific.</v>
      </c>
    </row>
    <row r="70" spans="1:5" ht="71.25" customHeight="1" x14ac:dyDescent="0.3">
      <c r="A70" s="64" t="s">
        <v>155</v>
      </c>
      <c r="B70" s="64" t="str">
        <f>VLOOKUP($A70,Questions!$A$3:$X$333,2,0)&amp;""</f>
        <v>Will the consulting take place on-premises?</v>
      </c>
      <c r="C70" s="64" t="str">
        <f>VLOOKUP($A70,Questions!$A$3:$X$333,19,0)&amp;""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0" s="64" t="str">
        <f>VLOOKUP($A70,Questions!$A$3:$X$333,20,0)&amp;""</f>
        <v>Follow-up inquiries will be institution/implementation specific.</v>
      </c>
    </row>
    <row r="71" spans="1:5" ht="71.25" customHeight="1" x14ac:dyDescent="0.3">
      <c r="A71" s="64" t="s">
        <v>156</v>
      </c>
      <c r="B71" s="64" t="str">
        <f>VLOOKUP($A71,Questions!$A$3:$X$333,2,0)&amp;""</f>
        <v>Will the consultant require access to hardware in the institution's data centers?</v>
      </c>
      <c r="C71" s="64" t="str">
        <f>VLOOKUP($A71,Questions!$A$3:$X$333,19,0)&amp;""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1" s="64" t="str">
        <f>VLOOKUP($A71,Questions!$A$3:$X$333,20,0)&amp;""</f>
        <v>Follow-up inquiries will be institution/implementation specific.</v>
      </c>
    </row>
    <row r="72" spans="1:5" s="66" customFormat="1" ht="67.5" customHeight="1" x14ac:dyDescent="0.3">
      <c r="A72" s="64" t="s">
        <v>159</v>
      </c>
      <c r="B72" s="64" t="str">
        <f>VLOOKUP($A72,Questions!$A$3:$X$333,2,0)&amp;""</f>
        <v>Will the consultant require an account within the institution's domain (@*.edu)?</v>
      </c>
      <c r="C72" s="64" t="str">
        <f>VLOOKUP($A72,Questions!$A$3:$X$333,19,0)&amp;""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2" s="64" t="str">
        <f>VLOOKUP($A72,Questions!$A$3:$X$333,20,0)&amp;""</f>
        <v>Follow-up inquiries will be institution/implementation specific.</v>
      </c>
    </row>
    <row r="73" spans="1:5" ht="69" customHeight="1" x14ac:dyDescent="0.3">
      <c r="A73" s="64" t="s">
        <v>160</v>
      </c>
      <c r="B73" s="64" t="str">
        <f>VLOOKUP($A73,Questions!$A$3:$X$333,2,0)&amp;""</f>
        <v>Will any data be transferred to the consultant's possession?</v>
      </c>
      <c r="C73" s="64" t="str">
        <f>VLOOKUP($A73,Questions!$A$3:$X$333,19,0)&amp;""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3" s="64" t="str">
        <f>VLOOKUP($A73,Questions!$A$3:$X$333,20,0)&amp;""</f>
        <v>Follow-up inquiries will be institution/implementation specific.</v>
      </c>
    </row>
    <row r="74" spans="1:5" s="66" customFormat="1" ht="70.5" customHeight="1" x14ac:dyDescent="0.25">
      <c r="A74" s="64" t="s">
        <v>163</v>
      </c>
      <c r="B74" s="64" t="str">
        <f>VLOOKUP($A74,Questions!$A$3:$X$333,2,0)&amp;""</f>
        <v>Will the consultant need remote access to the institution's network or systems?</v>
      </c>
      <c r="C74" s="64" t="str">
        <f>VLOOKUP($A74,Questions!$A$3:$X$333,19,0)&amp;""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D74" s="64" t="str">
        <f>VLOOKUP($A74,Questions!$A$3:$X$333,20,0)&amp;""</f>
        <v>Follow-up inquiries will be institution/implementation specific.</v>
      </c>
      <c r="E74" s="258" t="s">
        <v>1536</v>
      </c>
    </row>
    <row r="75" spans="1:5" ht="17.5" x14ac:dyDescent="0.3">
      <c r="A75" s="70" t="str">
        <f>VLOOKUP(LEFT($A76,4),'Auto Responses'!$N$4:$O$38,2,0)&amp;""</f>
        <v xml:space="preserve"> Application/Service Security</v>
      </c>
      <c r="B75" s="70"/>
      <c r="C75" s="63" t="str">
        <f>Questions!$S$2</f>
        <v>Reason for Question</v>
      </c>
      <c r="D75" s="63" t="str">
        <f>Questions!$T$2</f>
        <v>Follow-Up Inquiries/Responses</v>
      </c>
    </row>
    <row r="76" spans="1:5" ht="79.5" customHeight="1" x14ac:dyDescent="0.3">
      <c r="A76" s="71" t="s">
        <v>164</v>
      </c>
      <c r="B76" s="64" t="str">
        <f>VLOOKUP($A76,Questions!$A$3:$X$333,2,0)&amp;""</f>
        <v>Are access controls for institutional accounts based on structured rules, such as role-based access control (RBAC), attribute-based access control (ABAC), or policy-based access control (PBAC)?*</v>
      </c>
      <c r="C76" s="64" t="str">
        <f>VLOOKUP($A76,Questions!$A$3:$X$333,19,0)&amp;""</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v>
      </c>
      <c r="D76" s="64" t="str">
        <f>VLOOKUP($A76,Questions!$A$3:$X$333,20,0)&amp;""</f>
        <v>Ask the solution provider to summarize the best practices to restrict/control the access given to the institution's end users without the use of RBAC. Make sure to understand the administrative requirements/overhead introduced in the solution provider's environment.</v>
      </c>
    </row>
    <row r="77" spans="1:5" ht="85.5" customHeight="1" x14ac:dyDescent="0.3">
      <c r="A77" s="64" t="s">
        <v>169</v>
      </c>
      <c r="B77" s="64" t="str">
        <f>VLOOKUP($A77,Questions!$A$3:$X$333,2,0)&amp;""</f>
        <v>Are you using a web application firewall (WAF)?*</v>
      </c>
      <c r="C77" s="64" t="str">
        <f>VLOOKUP($A77,Questions!$A$3:$X$333,19,0)&amp;""</f>
        <v>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v>
      </c>
      <c r="D77" s="64" t="str">
        <f>VLOOKUP($A77,Questions!$A$3:$X$333,20,0)&amp;""</f>
        <v>If a solution provider states that they outsource their code development and do not run a WAF, there is elevated reason for concern. Verify how code is tested, monitored, and controlled in production environments.</v>
      </c>
    </row>
    <row r="78" spans="1:5" ht="70.5" customHeight="1" x14ac:dyDescent="0.3">
      <c r="A78" s="64" t="s">
        <v>173</v>
      </c>
      <c r="B78" s="64" t="str">
        <f>VLOOKUP($A78,Questions!$A$3:$X$333,2,0)&amp;""</f>
        <v>Are only currently supported operating system(s), software, and libraries leveraged by the system(s)/application(s) that will have access to institution's data?*</v>
      </c>
      <c r="C78" s="64" t="str">
        <f>VLOOKUP($A78,Questions!$A$3:$X$333,19,0)&amp;""</f>
        <v>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v>
      </c>
      <c r="D78" s="64" t="str">
        <f>VLOOKUP($A78,Questions!$A$3:$X$333,20,0)&amp;""</f>
        <v>Follow-up inquiries for operating systems leveraged by the solution provider will be institution/implementation specific.</v>
      </c>
    </row>
    <row r="79" spans="1:5" ht="45.75" customHeight="1" x14ac:dyDescent="0.3">
      <c r="A79" s="64" t="s">
        <v>178</v>
      </c>
      <c r="B79" s="64" t="str">
        <f>VLOOKUP($A79,Questions!$A$3:$X$333,2,0)&amp;""</f>
        <v>Does your application require access to location or GPS data?</v>
      </c>
      <c r="C79" s="64" t="str">
        <f>VLOOKUP($A79,Questions!$A$3:$X$333,19,0)&amp;""</f>
        <v>Sharing location data significantly increases risk factors for users. It's important to understand if this is required.</v>
      </c>
      <c r="D79" s="64" t="str">
        <f>VLOOKUP($A79,Questions!$A$3:$X$333,20,0)&amp;""</f>
        <v>Ask the solution provider about the need for this requirement, and understand any mitigation strategies that may be possible.</v>
      </c>
    </row>
    <row r="80" spans="1:5" ht="85.5" customHeight="1" x14ac:dyDescent="0.3">
      <c r="A80" s="64" t="s">
        <v>181</v>
      </c>
      <c r="B80" s="64" t="str">
        <f>VLOOKUP($A80,Questions!$A$3:$X$333,2,0)&amp;""</f>
        <v>Does your application provide separation of duties between security administration, system administration, and standard user functions?*</v>
      </c>
      <c r="C80" s="64" t="str">
        <f>VLOOKUP($A80,Questions!$A$3:$X$333,19,0)&amp;""</f>
        <v>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v>
      </c>
      <c r="D80" s="64" t="str">
        <f>VLOOKUP($A80,Questions!$A$3:$X$333,20,0)&amp;""</f>
        <v>Ask the solution provider to summarize their best practices for securing their system(s) administratively without the use of RBAC. Make sure to understand the administrative requirements/overhead introduced in the solution provider's environment.</v>
      </c>
    </row>
    <row r="81" spans="1:5" ht="82.5" customHeight="1" x14ac:dyDescent="0.3">
      <c r="A81" s="64" t="s">
        <v>186</v>
      </c>
      <c r="B81" s="64" t="str">
        <f>VLOOKUP($A81,Questions!$A$3:$X$333,2,0)&amp;""</f>
        <v>Do you subject your code to static code analysis and/or static application security testing prior to release?*</v>
      </c>
      <c r="C81" s="64" t="str">
        <f>VLOOKUP($A81,Questions!$A$3:$X$333,19,0)&amp;""</f>
        <v>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v>
      </c>
      <c r="D81" s="64" t="str">
        <f>VLOOKUP($A81,Questions!$A$3:$X$333,20,0)&amp;""</f>
        <v>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v>
      </c>
    </row>
    <row r="82" spans="1:5" s="66" customFormat="1" ht="53.25" customHeight="1" x14ac:dyDescent="0.3">
      <c r="A82" s="64" t="s">
        <v>190</v>
      </c>
      <c r="B82" s="64" t="str">
        <f>VLOOKUP($A82,Questions!$A$3:$X$333,2,0)&amp;""</f>
        <v>Do you have software testing processes (dynamic or static) that are established and followed?*</v>
      </c>
      <c r="C82" s="64" t="str">
        <f>VLOOKUP($A82,Questions!$A$3:$X$333,19,0)&amp;""</f>
        <v>Code analysis (prior to implementation) can decrease the number of vulnerabilities within a system. Depending on the insight a solution provider has into their code, code testing should be expected.</v>
      </c>
      <c r="D82" s="64" t="str">
        <f>VLOOKUP($A82,Questions!$A$3:$X$333,20,0)&amp;""</f>
        <v>If software testing processes are not established and followed, point the solution provider to OWASP's Testing Guide &lt;https://www.owasp.org/index.php/OWASP_Testing_Guide_v4_Table_of_Contents&gt;.</v>
      </c>
    </row>
    <row r="83" spans="1:5" ht="80.25" customHeight="1" x14ac:dyDescent="0.3">
      <c r="A83" s="64" t="s">
        <v>196</v>
      </c>
      <c r="B83" s="64" t="str">
        <f>VLOOKUP($A83,Questions!$A$3:$X$333,2,0)&amp;""</f>
        <v>Are access controls for staff within your organization based on structured rules, such as RBAC, ABAC, or PBAC?</v>
      </c>
      <c r="C83" s="64" t="str">
        <f>VLOOKUP($A83,Questions!$A$3:$X$333,19,0)&amp;""</f>
        <v>Managing a solution may rely on various professionals to administer a system. This question is focused on how administration, and the segregation of functions, is implemented within the solution provider's infrastructure.</v>
      </c>
      <c r="D83" s="64" t="str">
        <f>VLOOKUP($A83,Questions!$A$3:$X$333,20,0)&amp;""</f>
        <v>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v>
      </c>
    </row>
    <row r="84" spans="1:5" ht="88.5" customHeight="1" x14ac:dyDescent="0.3">
      <c r="A84" s="64" t="s">
        <v>201</v>
      </c>
      <c r="B84" s="64" t="str">
        <f>VLOOKUP($A84,Questions!$A$3:$X$333,2,0)&amp;""</f>
        <v>Does the system provide data input validation and error messages?</v>
      </c>
      <c r="C84" s="64" t="str">
        <f>VLOOKUP($A84,Questions!$A$3:$X$333,19,0)&amp;""</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84" s="64" t="str">
        <f>VLOOKUP($A84,Questions!$A$3:$X$333,20,0)&amp;""</f>
        <v>Inquire about any planned improvements to these capabilities. Ask about their product roadmap, and try to understand how they prioritize security concerns in their environment.</v>
      </c>
    </row>
    <row r="85" spans="1:5" ht="84.75" customHeight="1" x14ac:dyDescent="0.3">
      <c r="A85" s="64" t="s">
        <v>204</v>
      </c>
      <c r="B85" s="64" t="str">
        <f>VLOOKUP($A85,Questions!$A$3:$X$333,2,0)&amp;""</f>
        <v>Do you have a process and implemented procedures for managing your software supply chain (e.g., libraries, repositories, frameworks, etc.)</v>
      </c>
      <c r="C85" s="64" t="str">
        <f>VLOOKUP($A85,Questions!$A$3:$X$333,19,0)&amp;""</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85" s="64" t="str">
        <f>VLOOKUP($A85,Questions!$A$3:$X$333,20,0)&amp;""</f>
        <v>Follow-up inquiries concerning software supply chain will be institution/implementation specific.</v>
      </c>
      <c r="E85" s="58"/>
    </row>
    <row r="86" spans="1:5" ht="67.5" customHeight="1" x14ac:dyDescent="0.3">
      <c r="A86" s="64" t="s">
        <v>208</v>
      </c>
      <c r="B86" s="64" t="str">
        <f>VLOOKUP($A86,Questions!$A$3:$X$333,2,0)&amp;""</f>
        <v>Have your developers been trained in secure coding techniques?</v>
      </c>
      <c r="C86" s="64" t="str">
        <f>VLOOKUP($A86,Questions!$A$3:$X$333,19,0)&amp;""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6" s="64" t="str">
        <f>VLOOKUP($A86,Questions!$A$3:$X$333,20,0)&amp;""</f>
        <v>If information security principles are not designed into the product lifecycle, point the solution provider to OWASP's Secure Coding Practices - Quick Reference Guide &lt;https://www.owasp.org/index.php/OWASP_Secure_Coding_Practices_-_Quick_Reference_Guide&gt;.</v>
      </c>
      <c r="E86" s="65"/>
    </row>
    <row r="87" spans="1:5" ht="72.75" customHeight="1" x14ac:dyDescent="0.3">
      <c r="A87" s="64" t="s">
        <v>212</v>
      </c>
      <c r="B87" s="64" t="str">
        <f>VLOOKUP($A87,Questions!$A$3:$X$333,2,0)&amp;""</f>
        <v>Was your application developed using secure coding techniques?</v>
      </c>
      <c r="C87" s="64" t="str">
        <f>VLOOKUP($A87,Questions!$A$3:$X$333,19,0)&amp;""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7" s="64" t="str">
        <f>VLOOKUP($A87,Questions!$A$3:$X$333,20,0)&amp;""</f>
        <v>If information security principles are not designed into the product lifecycle, point the solution provider to OWASP's Secure Coding Practices - Quick Reference Guide &lt;https://www.owasp.org/index.php/OWASP_Secure_Coding_Practices_-_Quick_Reference_Guide&gt;.</v>
      </c>
    </row>
    <row r="88" spans="1:5" ht="58.5" customHeight="1" x14ac:dyDescent="0.3">
      <c r="A88" s="64" t="s">
        <v>216</v>
      </c>
      <c r="B88" s="64" t="str">
        <f>VLOOKUP($A88,Questions!$A$3:$X$333,2,0)&amp;""</f>
        <v>If mobile, is the application available from a trusted source (e.g., App Store, Google Play Store)?</v>
      </c>
      <c r="C88" s="64" t="str">
        <f>VLOOKUP($A88,Questions!$A$3:$X$333,19,0)&amp;""</f>
        <v>Distributing application via known, moderately vetted application platform decreases the chances of malicious code distribution. Stand-alone deployments (nontrusted sources) should be looked at more closely.</v>
      </c>
      <c r="D88" s="64" t="str">
        <f>VLOOKUP($A88,Questions!$A$3:$X$333,20,0)&amp;""</f>
        <v>Ask the solution provider why this deployment strategy is used. Ask if it is a restriction of the app store platform or some other environment restriction.</v>
      </c>
    </row>
    <row r="89" spans="1:5" ht="65.25" customHeight="1" x14ac:dyDescent="0.25">
      <c r="A89" s="64" t="s">
        <v>219</v>
      </c>
      <c r="B89" s="64" t="str">
        <f>VLOOKUP($A89,Questions!$A$3:$X$333,2,0)&amp;""</f>
        <v>Do you have a fully implemented policy or procedure that details how your employees obtain administrator access to institutional instance of the application?</v>
      </c>
      <c r="C89" s="64" t="str">
        <f>VLOOKUP($A89,Questions!$A$3:$X$333,19,0)&amp;""</f>
        <v>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v>
      </c>
      <c r="D89" s="64" t="str">
        <f>VLOOKUP($A89,Questions!$A$3:$X$333,20,0)&amp;""</f>
        <v>Ask the solution provider to summarize their implemented policies and/or procedures</v>
      </c>
      <c r="E89" s="258" t="s">
        <v>1536</v>
      </c>
    </row>
    <row r="90" spans="1:5" ht="17.5" x14ac:dyDescent="0.3">
      <c r="A90" s="70" t="str">
        <f>VLOOKUP(LEFT($A91,4),'Auto Responses'!$N$4:$O$38,2,0)&amp;""</f>
        <v xml:space="preserve"> Authentication, Authorization, and Account Management</v>
      </c>
      <c r="B90" s="70"/>
      <c r="C90" s="63" t="str">
        <f>Questions!$S$2</f>
        <v>Reason for Question</v>
      </c>
      <c r="D90" s="63" t="str">
        <f>Questions!$T$2</f>
        <v>Follow-Up Inquiries/Responses</v>
      </c>
    </row>
    <row r="91" spans="1:5" ht="66.75" customHeight="1" x14ac:dyDescent="0.3">
      <c r="A91" s="64" t="s">
        <v>222</v>
      </c>
      <c r="B91" s="64" t="str">
        <f>VLOOKUP($A91,Questions!$A$3:$X$333,2,0)&amp;""</f>
        <v>Does your solution support single sign-on (SSO) protocols for user and administrator authentication?*</v>
      </c>
      <c r="C91" s="64" t="str">
        <f>VLOOKUP($A91,Questions!$A$3:$X$333,19,0)&amp;""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1" s="64" t="str">
        <f>VLOOKUP($A91,Questions!$A$3:$X$333,20,0)&amp;""</f>
        <v>Follow-up inquiries for IAM requirements will be institution/implementation specific.</v>
      </c>
    </row>
    <row r="92" spans="1:5" ht="46.5" customHeight="1" x14ac:dyDescent="0.3">
      <c r="A92" s="64" t="s">
        <v>227</v>
      </c>
      <c r="B92" s="64" t="str">
        <f>VLOOKUP($A92,Questions!$A$3:$X$333,2,0)&amp;""</f>
        <v>For customers not using SSO, does your solution support local authentication protocols for user and administrator authentication?*</v>
      </c>
      <c r="C92" s="64" t="str">
        <f>VLOOKUP($A92,Questions!$A$3:$X$333,19,0)&amp;""</f>
        <v xml:space="preserve">The purpose of this question is understand the solution provider's authentication infrastructure so that additional questions can be formulated for the institution's use case. If you will be using SSO, consider marking this question as "Do Not Score" in column J of the evaluation tab. </v>
      </c>
      <c r="D92" s="64" t="str">
        <f>VLOOKUP($A92,Questions!$A$3:$X$333,20,0)&amp;""</f>
        <v>The content of this response may or may not have value for the type of use case on the institution. Follow-up inquiries for authentication modes will be institution/implementation specific.</v>
      </c>
    </row>
    <row r="93" spans="1:5" ht="31.5" customHeight="1" x14ac:dyDescent="0.3">
      <c r="A93" s="64" t="s">
        <v>231</v>
      </c>
      <c r="B93" s="64" t="str">
        <f>VLOOKUP($A93,Questions!$A$3:$X$333,2,0)&amp;""</f>
        <v>For customers not using SSO, can you enforce password/passphrase complexity requirements (provided by the institution)?*</v>
      </c>
      <c r="C93" s="64" t="str">
        <f>VLOOKUP($A93,Questions!$A$3:$X$333,19,0)&amp;""</f>
        <v xml:space="preserve">Many institutions have a policy focused on passwords/passphrases, and this question confirms the capacity of a solution provider's solution to comply. If you will be using SSO, consider marking this question as "Do Not Score" in column J of the evaluation tab. </v>
      </c>
      <c r="D93" s="64" t="str">
        <f>VLOOKUP($A93,Questions!$A$3:$X$333,20,0)&amp;""</f>
        <v>Follow-up inquiries for password/passphrase complexity requirements will be institution/implementation specific.</v>
      </c>
    </row>
    <row r="94" spans="1:5" ht="42" customHeight="1" x14ac:dyDescent="0.3">
      <c r="A94" s="64" t="s">
        <v>232</v>
      </c>
      <c r="B94" s="64" t="str">
        <f>VLOOKUP($A94,Questions!$A$3:$X$333,2,0)&amp;""</f>
        <v>For customers not using SSO, does the system have password complexity or length limitations and/or restrictions?*</v>
      </c>
      <c r="C94" s="64" t="str">
        <f>VLOOKUP($A94,Questions!$A$3:$X$333,19,0)&amp;""</f>
        <v xml:space="preserve">Many institutions have a policy focused on passwords/passphrases, and this question confirms the capacity of a solution provider's solution to comply. If you will be using SSO, consider marking this question as "Do Not Score" in column J of the evaluation tab. </v>
      </c>
      <c r="D94" s="64" t="str">
        <f>VLOOKUP($A94,Questions!$A$3:$X$333,20,0)&amp;""</f>
        <v>Follow-up inquiries for password/passphrase limitations and/or restrictions will be institution/implementation specific.</v>
      </c>
    </row>
    <row r="95" spans="1:5" ht="57" customHeight="1" x14ac:dyDescent="0.3">
      <c r="A95" s="64" t="s">
        <v>236</v>
      </c>
      <c r="B95" s="64" t="str">
        <f>VLOOKUP($A95,Questions!$A$3:$X$333,2,0)&amp;""</f>
        <v>For customers not using SSO, do you have documented password/passphrase reset procedures that are currently implemented in the system and/or customer support?*</v>
      </c>
      <c r="C95" s="64" t="str">
        <f>VLOOKUP($A95,Questions!$A$3:$X$333,19,0)&amp;""</f>
        <v xml:space="preserve">Account management can be a time-consuming part of an information system. Account reset capabilities, built into a system, can reduce burden on institutional support services. If you will be using SSO, consider marking this question as "Do Not Score" in column J of the evaluation tab. </v>
      </c>
      <c r="D95" s="64" t="str">
        <f>VLOOKUP($A95,Questions!$A$3:$X$333,20,0)&amp;""</f>
        <v>Ask the solution provider how end users will be supported. Ask for training documentation or knowledgebase content. Confirm solution provider and institution responsibilities in this support area (and others).</v>
      </c>
    </row>
    <row r="96" spans="1:5" ht="50.25" customHeight="1" x14ac:dyDescent="0.3">
      <c r="A96" s="64" t="s">
        <v>239</v>
      </c>
      <c r="B96" s="64" t="str">
        <f>VLOOKUP($A96,Questions!$A$3:$X$333,2,0)&amp;""</f>
        <v>Does your organization participate in InCommon or another eduGAIN-affiliated trust federation?*</v>
      </c>
      <c r="C96" s="64" t="str">
        <f>VLOOKUP($A96,Questions!$A$3:$X$333,19,0)&amp;""</f>
        <v>This question defines the solution provider's scope of federated identity practices and their willingness to embrace higher education requirements.</v>
      </c>
      <c r="D96" s="64" t="str">
        <f>VLOOKUP($A96,Questions!$A$3:$X$333,20,0)&amp;""</f>
        <v>If a solution provider indicates that a system is stand-alone and cannot integrate with community standards, follow up with maturity questions and ask about other commodity type functions or other system requirements your institution may have.</v>
      </c>
    </row>
    <row r="97" spans="1:5" ht="51" customHeight="1" x14ac:dyDescent="0.3">
      <c r="A97" s="64" t="s">
        <v>242</v>
      </c>
      <c r="B97" s="64" t="str">
        <f>VLOOKUP($A97,Questions!$A$3:$X$333,2,0)&amp;""</f>
        <v>Are there any passwords/passphrases hard-coded into your systems or solutions?*</v>
      </c>
      <c r="C97" s="64" t="str">
        <f>VLOOKUP($A97,Questions!$A$3:$X$333,19,0)&amp;""</f>
        <v>The response to this question can reveal the use (or not) of coding best practices. If passwords/passphrases are hard-coded into systems/productions, the solution provider should provide robust details supporting why this is required.</v>
      </c>
      <c r="D97" s="64" t="str">
        <f>VLOOKUP($A97,Questions!$A$3:$X$333,20,0)&amp;""</f>
        <v>Vague responses to this question should be met with concern. Repeat the question if the first answer is insufficient. Ask pointedly to ensure the solution provider is not misunderstanding.</v>
      </c>
    </row>
    <row r="98" spans="1:5" ht="35.25" customHeight="1" x14ac:dyDescent="0.3">
      <c r="A98" s="64" t="s">
        <v>245</v>
      </c>
      <c r="B98" s="64" t="str">
        <f>VLOOKUP($A98,Questions!$A$3:$X$333,2,0)&amp;""</f>
        <v>Are you storing any passwords in plaintext?*</v>
      </c>
      <c r="C98" s="64" t="str">
        <f>VLOOKUP($A98,Questions!$A$3:$X$333,19,0)&amp;""</f>
        <v>The focus of this question is confidentiality. It is a straightforward question confirming the encryption of user authentication details.</v>
      </c>
      <c r="D98" s="64" t="str">
        <f>VLOOKUP($A98,Questions!$A$3:$X$333,20,0)&amp;""</f>
        <v>Follow-up inquiries for password/passphrase encrypted storage will be institution/implementation specific.</v>
      </c>
    </row>
    <row r="99" spans="1:5" ht="72.75" customHeight="1" x14ac:dyDescent="0.3">
      <c r="A99" s="64" t="s">
        <v>248</v>
      </c>
      <c r="B99" s="64" t="str">
        <f>VLOOKUP($A99,Questions!$A$3:$X$333,2,0)&amp;""</f>
        <v>Are audit logs available that include AT LEAST all of the following: login, logout, actions performed, and source IP address?*</v>
      </c>
      <c r="C99" s="64" t="str">
        <f>VLOOKUP($A99,Questions!$A$3:$X$333,19,0)&amp;""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99" s="64" t="str">
        <f>VLOOKUP($A99,Questions!$A$3:$X$333,20,0)&amp;""</f>
        <v>If a weak response is given, it is appropriate to ask directed questions to get specific information. Ensure that questions are targeted to ensure responses will come from the appropriate party within the solution provider.</v>
      </c>
    </row>
    <row r="100" spans="1:5" ht="92.25" customHeight="1" x14ac:dyDescent="0.3">
      <c r="A100" s="64" t="s">
        <v>251</v>
      </c>
      <c r="B100" s="64" t="str">
        <f>VLOOKUP($A100,Questions!$A$3:$X$333,2,0)&amp;""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0" s="64" t="str">
        <f>VLOOKUP($A100,Questions!$A$3:$X$333,19,0)&amp;""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v>
      </c>
      <c r="D100" s="64" t="str">
        <f>VLOOKUP($A100,Questions!$A$3:$X$333,20,0)&amp;""</f>
        <v>If a weak response is given, it is appropriate to ask directed questions to get specific information. Ensure that questions are targeted to ensure responses will come from the appropriate party within the solution provider.</v>
      </c>
    </row>
    <row r="101" spans="1:5" ht="65.25" customHeight="1" x14ac:dyDescent="0.3">
      <c r="A101" s="64" t="s">
        <v>255</v>
      </c>
      <c r="B101" s="64" t="str">
        <f>VLOOKUP($A101,Questions!$A$3:$X$333,2,0)&amp;""</f>
        <v>Can you provide the institution documentation regarding the retention period for those logs, how logs are protected, and whether they are accessible to the customer (and if so, how)?*</v>
      </c>
      <c r="C101" s="64" t="str">
        <f>VLOOKUP($A101,Questions!$A$3:$X$333,19,0)&amp;""</f>
        <v>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v>
      </c>
      <c r="D101" s="64" t="str">
        <f>VLOOKUP($A101,Questions!$A$3:$X$333,20,0)&amp;""</f>
        <v>Follow-up inquiries for logging details will be institution/implementation specific.</v>
      </c>
    </row>
    <row r="102" spans="1:5" ht="69" customHeight="1" x14ac:dyDescent="0.3">
      <c r="A102" s="64" t="s">
        <v>259</v>
      </c>
      <c r="B102" s="64" t="str">
        <f>VLOOKUP($A102,Questions!$A$3:$X$333,2,0)&amp;""</f>
        <v>For customers not using SSO, does your application support integration with other authentication and authorization systems?</v>
      </c>
      <c r="C102" s="64" t="str">
        <f>VLOOKUP($A102,Questions!$A$3:$X$333,19,0)&amp;""</f>
        <v xml:space="preserve">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If you will be using SSO, consider marking this question as "Do Not Score" in column J of the evaluation tab. </v>
      </c>
      <c r="D102" s="64" t="str">
        <f>VLOOKUP($A102,Questions!$A$3:$X$333,20,0)&amp;""</f>
        <v>If a solution provider indicates that a system is stand-alone and cannot integrate with the institution's infrastructure, follow up with maturity questions and ask about other commodity type functions or other system requirements your institution may have.</v>
      </c>
    </row>
    <row r="103" spans="1:5" ht="57.75" customHeight="1" x14ac:dyDescent="0.3">
      <c r="A103" s="64" t="s">
        <v>261</v>
      </c>
      <c r="B103" s="64" t="str">
        <f>VLOOKUP($A103,Questions!$A$3:$X$333,2,0)&amp;""</f>
        <v>Do you allow the customer to specify attribute mappings for any needed information beyond a user identifier? (e.g., Reference eduPerson, ePPA/ePPN/ePE)</v>
      </c>
      <c r="C103" s="64" t="str">
        <f>VLOOKUP($A103,Questions!$A$3:$X$333,19,0)&amp;""</f>
        <v>This questions allows an institution to know solution provider system limitations and to help them gauge the resources (that may be needed to implement) required to successfully integrate the solution with institution systems.</v>
      </c>
      <c r="D103" s="64" t="str">
        <f>VLOOKUP($A103,Questions!$A$3:$X$333,20,0)&amp;""</f>
        <v>Follow-up inquiries for attribute mapping requirements will be institution/implementation specific.</v>
      </c>
      <c r="E103" s="58"/>
    </row>
    <row r="104" spans="1:5" ht="63.75" customHeight="1" x14ac:dyDescent="0.3">
      <c r="A104" s="64" t="s">
        <v>266</v>
      </c>
      <c r="B104" s="64" t="str">
        <f>VLOOKUP($A104,Questions!$A$3:$X$333,2,0)&amp;""</f>
        <v>For customers not using SSO, does your application support directory integration for user accounts?</v>
      </c>
      <c r="C104" s="64" t="str">
        <f>VLOOKUP($A104,Questions!$A$3:$X$333,19,0)&amp;""</f>
        <v xml:space="preserve">System (technical and security) administration is complex, and it is important to understand a system's capabilities to integrate with existing security and access systems. Having to maintain additional accounts increases overhead and may impact your institution's risk footprint. If you will be using SSO, consider marking this question as "Do Not Score" in column J of the evaluation tab. </v>
      </c>
      <c r="D104" s="64" t="str">
        <f>VLOOKUP($A104,Questions!$A$3:$X$333,20,0)&amp;""</f>
        <v>Follow-up inquiries for system authentication will be unique to your institution (e.g., policy, infrastructure, etc.).</v>
      </c>
    </row>
    <row r="105" spans="1:5" ht="67.5" customHeight="1" x14ac:dyDescent="0.3">
      <c r="A105" s="64" t="s">
        <v>267</v>
      </c>
      <c r="B105" s="64" t="str">
        <f>VLOOKUP($A105,Questions!$A$3:$X$333,2,0)&amp;""</f>
        <v>Does your solution support any of the following web SSO standards: SAML2 (with redirect flow), OIDC, CAS, or other?</v>
      </c>
      <c r="C105" s="64" t="str">
        <f>VLOOKUP($A105,Questions!$A$3:$X$333,19,0)&amp;""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105" s="64" t="str">
        <f>VLOOKUP($A105,Questions!$A$3:$X$333,20,0)&amp;""</f>
        <v>Follow-up inquiries for IAM requirements will be institution/implementation specific.</v>
      </c>
    </row>
    <row r="106" spans="1:5" ht="52.5" customHeight="1" x14ac:dyDescent="0.3">
      <c r="A106" s="64" t="s">
        <v>271</v>
      </c>
      <c r="B106" s="64" t="str">
        <f>VLOOKUP($A106,Questions!$A$3:$X$333,2,0)&amp;""</f>
        <v>Do you support differentiation between email address and user identifier?</v>
      </c>
      <c r="C106" s="64" t="str">
        <f>VLOOKUP($A106,Questions!$A$3:$X$333,19,0)&amp;""</f>
        <v>This questions allows an institution to know solution provider system limitations and to help them gauge the resources (that may be needed to implement) required to successfully integrate the solution with institution systems.</v>
      </c>
      <c r="D106" s="64" t="str">
        <f>VLOOKUP($A106,Questions!$A$3:$X$333,20,0)&amp;""</f>
        <v>Follow-up inquiries for identifier requirements will be institution/implementation specific.</v>
      </c>
    </row>
    <row r="107" spans="1:5" ht="54" customHeight="1" x14ac:dyDescent="0.3">
      <c r="A107" s="64" t="s">
        <v>274</v>
      </c>
      <c r="B107" s="64" t="str">
        <f>VLOOKUP($A107,Questions!$A$3:$X$333,2,0)&amp;""</f>
        <v>For customers not using SSO, does your application and/or user frontend/portal support multifactor authentication (e.g., Duo, Google Authenticator, OTP, etc.)?</v>
      </c>
      <c r="C107" s="64" t="str">
        <f>VLOOKUP($A107,Questions!$A$3:$X$333,19,0)&amp;""</f>
        <v xml:space="preserve">2FA/MFA, implemented correctly, strengthens the security state of a system. 2FA/MFA is commonly implemented and in many use cases is a requirement for account protection purposes. If you will be using SSO, consider marking this question as "Do Not Score" in column J of the evaluation tab. </v>
      </c>
      <c r="D107" s="64" t="str">
        <f>VLOOKUP($A107,Questions!$A$3:$X$333,20,0)&amp;""</f>
        <v>Ask the solution provider about hardware and software options, future roadmap for implementations and support, etc.</v>
      </c>
    </row>
    <row r="108" spans="1:5" ht="36.75" customHeight="1" x14ac:dyDescent="0.25">
      <c r="A108" s="64" t="s">
        <v>277</v>
      </c>
      <c r="B108" s="64" t="str">
        <f>VLOOKUP($A108,Questions!$A$3:$X$333,2,0)&amp;""</f>
        <v>Does your application automatically lock the session or log out an account after a period of inactivity?</v>
      </c>
      <c r="C108" s="64" t="str">
        <f>VLOOKUP($A108,Questions!$A$3:$X$333,19,0)&amp;""</f>
        <v>This is a question to ensure account integrity and institutional data confidentiality.</v>
      </c>
      <c r="D108" s="64" t="str">
        <f>VLOOKUP($A108,Questions!$A$3:$X$333,20,0)&amp;""</f>
        <v>Follow-up inquiries for inactivity protections will be institution/implementation specific.</v>
      </c>
      <c r="E108" s="258" t="s">
        <v>1536</v>
      </c>
    </row>
    <row r="109" spans="1:5" ht="17.5" x14ac:dyDescent="0.3">
      <c r="A109" s="70" t="str">
        <f>VLOOKUP(LEFT($A110,4),'Auto Responses'!$N$4:$O$38,2,0)&amp;""</f>
        <v xml:space="preserve"> Change Management</v>
      </c>
      <c r="B109" s="70"/>
      <c r="C109" s="63" t="str">
        <f>Questions!$S$2</f>
        <v>Reason for Question</v>
      </c>
      <c r="D109" s="63" t="str">
        <f>Questions!$T$2</f>
        <v>Follow-Up Inquiries/Responses</v>
      </c>
    </row>
    <row r="110" spans="1:5" ht="51" customHeight="1" x14ac:dyDescent="0.3">
      <c r="A110" s="64" t="s">
        <v>280</v>
      </c>
      <c r="B110" s="64" t="str">
        <f>VLOOKUP($A110,Questions!$A$3:$X$333,2,0)&amp;""</f>
        <v>Will the institution be notified of major changes to your environment that could impact the institution's security posture?*</v>
      </c>
      <c r="C110" s="64" t="str">
        <f>VLOOKUP($A110,Questions!$A$3:$X$333,19,0)&amp;""</f>
        <v>Notification expectations should be set earlier in the contract/assessment process. Timelines, correspondence medium, and playbook details are all aspects to keep in mind when assessing this response.</v>
      </c>
      <c r="D110" s="64" t="str">
        <f>VLOOKUP($A110,Questions!$A$3:$X$333,20,0)&amp;""</f>
        <v>If the solution provider's response does not cover the details outlined in the reasoning, follow up and get specific responses for each, as needed.</v>
      </c>
    </row>
    <row r="111" spans="1:5" ht="57" customHeight="1" x14ac:dyDescent="0.3">
      <c r="A111" s="64" t="s">
        <v>285</v>
      </c>
      <c r="B111" s="64" t="str">
        <f>VLOOKUP($A111,Questions!$A$3:$X$333,2,0)&amp;""</f>
        <v>Does the system support client customizations from one release to another?*</v>
      </c>
      <c r="C111" s="64" t="str">
        <f>VLOOKUP($A111,Questions!$A$3:$X$333,19,0)&amp;""</f>
        <v>The solution provider's solution characteristics and the institution's use case will determine the relevancy of this question. The purpose of this question is to understand the underlying infrastructure and how it is maintained across all customers.</v>
      </c>
      <c r="D111" s="64" t="str">
        <f>VLOOKUP($A111,Questions!$A$3:$X$333,20,0)&amp;""</f>
        <v>In cases where the solution is customized for customer use cases, ensure the solution provider's response covers all aspects of code migration, including backups, data conversions, local resources from the institution, etc., as it relates to code upgrades and/or version adoptions.</v>
      </c>
    </row>
    <row r="112" spans="1:5" ht="75.75" customHeight="1" x14ac:dyDescent="0.3">
      <c r="A112" s="64" t="s">
        <v>286</v>
      </c>
      <c r="B112" s="64" t="str">
        <f>VLOOKUP($A112,Questions!$A$3:$X$333,2,0)&amp;""</f>
        <v>Do you have an implemented system configuration management process (e.g.,secure "gold" images, etc.)?*</v>
      </c>
      <c r="C112" s="64" t="str">
        <f>VLOOKUP($A112,Questions!$A$3:$X$333,19,0)&amp;""</f>
        <v>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v>
      </c>
      <c r="D112" s="64" t="str">
        <f>VLOOKUP($A112,Questions!$A$3:$X$333,20,0)&amp;""</f>
        <v>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13" spans="1:5" ht="54" customHeight="1" x14ac:dyDescent="0.3">
      <c r="A113" s="64" t="s">
        <v>289</v>
      </c>
      <c r="B113" s="64" t="str">
        <f>VLOOKUP($A113,Questions!$A$3:$X$333,2,0)&amp;""</f>
        <v>Do you have a documented change management process?</v>
      </c>
      <c r="C113" s="64" t="str">
        <f>VLOOKUP($A113,Questions!$A$3:$X$333,19,0)&amp;""</f>
        <v>The lack of a change management function is indicative of immature program processes. Answers to this question can provide insight into how well their responses (on the HECVAT) represent their actual environment(s).</v>
      </c>
      <c r="D113" s="64" t="str">
        <f>VLOOKUP($A113,Questions!$A$3:$X$333,20,0)&amp;""</f>
        <v>If a weak response is given to this answer, response scrutiny should be increased. Questions about configuration management, system authority, and documentation are appropriate.</v>
      </c>
      <c r="E113" s="58"/>
    </row>
    <row r="114" spans="1:5" ht="54" customHeight="1" x14ac:dyDescent="0.3">
      <c r="A114" s="64" t="s">
        <v>293</v>
      </c>
      <c r="B114" s="64" t="str">
        <f>VLOOKUP($A114,Questions!$A$3:$X$333,2,0)&amp;""</f>
        <v>Does your change management process minimally include authorization, impact analysis, testing, and validation before moving changes to production?</v>
      </c>
      <c r="C114" s="64" t="str">
        <f>VLOOKUP($A114,Questions!$A$3:$X$333,19,0)&amp;""</f>
        <v>This question outlines a mature change management process. Changes should be analyzed for impact, officially approved, tested, and performed by authorized users.</v>
      </c>
      <c r="D114" s="64" t="str">
        <f>VLOOKUP($A114,Questions!$A$3:$X$333,20,0)&amp;""</f>
        <v>If the solution provider's response does not cover the details outlined in the reasoning, follow up and get specific responses, as needed.</v>
      </c>
      <c r="E114" s="65"/>
    </row>
    <row r="115" spans="1:5" ht="51" customHeight="1" x14ac:dyDescent="0.3">
      <c r="A115" s="64" t="s">
        <v>297</v>
      </c>
      <c r="B115" s="64" t="str">
        <f>VLOOKUP($A115,Questions!$A$3:$X$333,2,0)&amp;""</f>
        <v>Does your change management process verify that all required third-party libraries and dependencies are still supported with each major change?</v>
      </c>
      <c r="C115" s="64" t="str">
        <f>VLOOKUP($A115,Questions!$A$3:$X$333,19,0)&amp;""</f>
        <v>This question is fundamentally about supply chain. The solution provider should be able to document its procedures around tracking libraries maintained by third parties.</v>
      </c>
      <c r="D115" s="64" t="str">
        <f>VLOOKUP($A115,Questions!$A$3:$X$333,20,0)&amp;""</f>
        <v>If the solution provider's response does not cover the details outlined in the reasoning, follow-up and get specific responses for each, as needed.</v>
      </c>
    </row>
    <row r="116" spans="1:5" ht="39.75" customHeight="1" x14ac:dyDescent="0.3">
      <c r="A116" s="64" t="s">
        <v>301</v>
      </c>
      <c r="B116" s="64" t="str">
        <f>VLOOKUP($A116,Questions!$A$3:$X$333,2,0)&amp;""</f>
        <v>Do you have policy and procedure, currently implemented, managing how critical patches are applied to all systems and applications?</v>
      </c>
      <c r="C116" s="64" t="str">
        <f>VLOOKUP($A116,Questions!$A$3:$X$333,19,0)&amp;""</f>
        <v>Answers to this question will reveal the solution provider’s knowledge of their IT assets and their ability to respond to notifications about their systems and software.</v>
      </c>
      <c r="D116" s="64" t="str">
        <f>VLOOKUP($A116,Questions!$A$3:$X$333,20,0)&amp;""</f>
        <v>Follow-up inquiries for the solution provider’s patching practices will be institution/implementation specific.</v>
      </c>
    </row>
    <row r="117" spans="1:5" ht="66.75" customHeight="1" x14ac:dyDescent="0.3">
      <c r="A117" s="64" t="s">
        <v>305</v>
      </c>
      <c r="B117" s="64" t="str">
        <f>VLOOKUP($A117,Questions!$A$3:$X$333,2,0)&amp;""</f>
        <v>Have you implemented policies and procedures that guide how security risks are mitigated until patches can be applied?</v>
      </c>
      <c r="C117" s="64" t="str">
        <f>VLOOKUP($A117,Questions!$A$3:$X$333,19,0)&amp;""</f>
        <v>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v>
      </c>
      <c r="D117" s="64" t="str">
        <f>VLOOKUP($A117,Questions!$A$3:$X$333,20,0)&amp;""</f>
        <v>Follow-up inquiries for the solution providers patching practices will be institution/implementation specific.</v>
      </c>
    </row>
    <row r="118" spans="1:5" ht="86.25" customHeight="1" x14ac:dyDescent="0.3">
      <c r="A118" s="64" t="s">
        <v>308</v>
      </c>
      <c r="B118" s="64" t="str">
        <f>VLOOKUP($A118,Questions!$A$3:$X$333,2,0)&amp;""</f>
        <v>Do clients have the option to not participate in or postpone an upgrade to a new release?</v>
      </c>
      <c r="C118" s="64" t="str">
        <f>VLOOKUP($A118,Questions!$A$3:$X$333,19,0)&amp;""</f>
        <v>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v>
      </c>
      <c r="D118" s="64" t="str">
        <f>VLOOKUP($A118,Questions!$A$3:$X$333,20,0)&amp;""</f>
        <v>Follow-up inquiries for solution version releases will be institution/implementation specific.</v>
      </c>
    </row>
    <row r="119" spans="1:5" ht="40.5" x14ac:dyDescent="0.3">
      <c r="A119" s="64" t="s">
        <v>311</v>
      </c>
      <c r="B119" s="64" t="str">
        <f>VLOOKUP($A119,Questions!$A$3:$X$333,2,0)&amp;""</f>
        <v>Do you have a fully implemented solution support strategy that defines how many concurrent versions you support?</v>
      </c>
      <c r="C119" s="64" t="str">
        <f>VLOOKUP($A119,Questions!$A$3:$X$333,19,0)&amp;""</f>
        <v>Supporting multiple versions of a solution is challenging. Understanding the solution provider’s strategy and resources will provide insight into its ability to adequately support their customers.</v>
      </c>
      <c r="D119" s="64" t="str">
        <f>VLOOKUP($A119,Questions!$A$3:$X$333,20,0)&amp;""</f>
        <v>Follow-up inquiries for the solution provider’s support of concurrent versions will be institution/implementation specific.</v>
      </c>
    </row>
    <row r="120" spans="1:5" ht="49.5" customHeight="1" x14ac:dyDescent="0.3">
      <c r="A120" s="64" t="s">
        <v>313</v>
      </c>
      <c r="B120" s="64" t="str">
        <f>VLOOKUP($A120,Questions!$A$3:$X$333,2,0)&amp;""</f>
        <v>Do you have a release schedule for product updates?</v>
      </c>
      <c r="C120" s="64" t="str">
        <f>VLOOKUP($A120,Questions!$A$3:$X$333,19,0)&amp;""</f>
        <v>Answers to this question will reveal the solution provider’s ability to plan in the short term. This is valuable information for customers so they can anticipate updates and potential bug fixes.</v>
      </c>
      <c r="D120" s="64" t="str">
        <f>VLOOKUP($A120,Questions!$A$3:$X$333,20,0)&amp;""</f>
        <v>Follow-up inquiries for the solution provider’s solution update practices will be institution/implementation specific.</v>
      </c>
    </row>
    <row r="121" spans="1:5" ht="38.25" customHeight="1" x14ac:dyDescent="0.3">
      <c r="A121" s="64" t="s">
        <v>317</v>
      </c>
      <c r="B121" s="64" t="str">
        <f>VLOOKUP($A121,Questions!$A$3:$X$333,2,0)&amp;""</f>
        <v>Do you have a technology roadmap, for at least the next two years, for enhancements and bug fixes for the solution being assessed?</v>
      </c>
      <c r="C121" s="64" t="str">
        <f>VLOOKUP($A121,Questions!$A$3:$X$333,19,0)&amp;""</f>
        <v>Answers to this question will reveal the solution provider’s ability to plan for the future of their solution.</v>
      </c>
      <c r="D121" s="64" t="str">
        <f>VLOOKUP($A121,Questions!$A$3:$X$333,20,0)&amp;""</f>
        <v>Follow-up inquiries for the solution provider’s technology planning practices will be institution/implementation specific.</v>
      </c>
    </row>
    <row r="122" spans="1:5" ht="84.75" customHeight="1" x14ac:dyDescent="0.3">
      <c r="A122" s="64" t="s">
        <v>320</v>
      </c>
      <c r="B122" s="64" t="str">
        <f>VLOOKUP($A122,Questions!$A$3:$X$333,2,0)&amp;""</f>
        <v>Can solution updates be completed without institutional involvement (i.e., technically or organizationally)?</v>
      </c>
      <c r="C122" s="64" t="str">
        <f>VLOOKUP($A122,Questions!$A$3:$X$333,19,0)&amp;""</f>
        <v>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v>
      </c>
      <c r="D122" s="64" t="str">
        <f>VLOOKUP($A122,Questions!$A$3:$X$333,20,0)&amp;""</f>
        <v>Vague responses to this question should be investigated further. Ask for additional documentation for customer responsibilities (in the context of information technology/security).</v>
      </c>
    </row>
    <row r="123" spans="1:5" ht="58.5" customHeight="1" x14ac:dyDescent="0.3">
      <c r="A123" s="64" t="s">
        <v>325</v>
      </c>
      <c r="B123" s="64" t="str">
        <f>VLOOKUP($A123,Questions!$A$3:$X$333,2,0)&amp;""</f>
        <v>Are upgrades or system changes installed during off-peak hours or in a manner that does not impact the customer?</v>
      </c>
      <c r="C123" s="64" t="str">
        <f>VLOOKUP($A123,Questions!$A$3:$X$333,19,0)&amp;""</f>
        <v>Restricting system updates to a standard maintenance timeframe is important for ensuring that changes to production systems do not impact operations. It’s also important for troubleshooting any problems that may occur as a result of the changes.</v>
      </c>
      <c r="D123" s="64" t="str">
        <f>VLOOKUP($A123,Questions!$A$3:$X$333,20,0)&amp;""</f>
        <v>If the solution provider's response does not cover the details outlined in the reasoning, follow up and get specific responses, as needed.</v>
      </c>
    </row>
    <row r="124" spans="1:5" ht="52.5" customHeight="1" x14ac:dyDescent="0.3">
      <c r="A124" s="64" t="s">
        <v>329</v>
      </c>
      <c r="B124" s="64" t="str">
        <f>VLOOKUP($A124,Questions!$A$3:$X$333,2,0)&amp;""</f>
        <v>Do procedures exist to provide that emergency changes are documented and authorized (including after-the-fact approval)?</v>
      </c>
      <c r="C124" s="64" t="str">
        <f>VLOOKUP($A124,Questions!$A$3:$X$333,19,0)&amp;""</f>
        <v>In the context of the CIA triad, this question is focused on system integrity, ensuring that system changes are only executed by authorized users. In the event of emergency changes, accountability and post-action review are expected.</v>
      </c>
      <c r="D124" s="64" t="str">
        <f>VLOOKUP($A124,Questions!$A$3:$X$333,20,0)&amp;""</f>
        <v>Follow up with a robust question set if a solution provider cannot clearly state full control of the integrity of their system(s).</v>
      </c>
    </row>
    <row r="125" spans="1:5" ht="66.75" customHeight="1" x14ac:dyDescent="0.25">
      <c r="A125" s="64" t="s">
        <v>332</v>
      </c>
      <c r="B125" s="64" t="str">
        <f>VLOOKUP($A125,Questions!$A$3:$X$333,2,0)&amp;""</f>
        <v>Do you have a systems management and configuration strategy that encompasses servers, appliances, cloud services, applications, and mobile devices (company and employee owned)?</v>
      </c>
      <c r="C125" s="64" t="str">
        <f>VLOOKUP($A125,Questions!$A$3:$X$333,19,0)&amp;""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125" s="64" t="str">
        <f>VLOOKUP($A125,Questions!$A$3:$X$333,20,0)&amp;""</f>
        <v>Follow up with a robust question set if the solution provider cannot clearly state full control of the integrity of their system(s). Questions about administrator access on end-user devices and other maintenance and patching type questions are appropriate.</v>
      </c>
      <c r="E125" s="258" t="s">
        <v>1536</v>
      </c>
    </row>
    <row r="126" spans="1:5" ht="17.5" x14ac:dyDescent="0.3">
      <c r="A126" s="70" t="str">
        <f>VLOOKUP(LEFT($A127,4),'Auto Responses'!$N$4:$O$38,2,0)&amp;""</f>
        <v xml:space="preserve"> Data</v>
      </c>
      <c r="B126" s="70"/>
      <c r="C126" s="63" t="str">
        <f>Questions!$S$2</f>
        <v>Reason for Question</v>
      </c>
      <c r="D126" s="63" t="str">
        <f>Questions!$T$2</f>
        <v>Follow-Up Inquiries/Responses</v>
      </c>
    </row>
    <row r="127" spans="1:5" ht="50.25" customHeight="1" x14ac:dyDescent="0.3">
      <c r="A127" s="64" t="s">
        <v>336</v>
      </c>
      <c r="B127" s="64" t="str">
        <f>VLOOKUP($A127,Questions!$A$3:$X$333,2,0)&amp;""</f>
        <v>Will the institution's data be stored on any devices (database servers, file servers, SAN, NAS, etc.) configured with non-RFC 1918/4193 (i.e., publicly routable) IP addresses?*</v>
      </c>
      <c r="C127" s="64" t="str">
        <f>VLOOKUP($A127,Questions!$A$3:$X$333,19,0)&amp;""</f>
        <v>Systems that are directly exposed to public internet resources are at greater risk than those that are not. Understanding the requirements for this configuration is important, particularly when assessing compensating controls.</v>
      </c>
      <c r="D127" s="64" t="str">
        <f>VLOOKUP($A127,Questions!$A$3:$X$333,20,0)&amp;""</f>
        <v>Ask the solution provider about its infrastructure and if there is a solution that eliminates the need for this environment.</v>
      </c>
    </row>
    <row r="128" spans="1:5" ht="42" customHeight="1" x14ac:dyDescent="0.3">
      <c r="A128" s="64" t="s">
        <v>340</v>
      </c>
      <c r="B128" s="64" t="str">
        <f>VLOOKUP($A128,Questions!$A$3:$X$333,2,0)&amp;""</f>
        <v>Is the transport of sensitive data encrypted using security protocols/algorithms (e.g., system-to-client)?*</v>
      </c>
      <c r="C128" s="64" t="str">
        <f>VLOOKUP($A128,Questions!$A$3:$X$333,19,0)&amp;""</f>
        <v>The need for encryption in transport is unique to your institution's implementation of a system. In particular, the data flow between the system and the end users of the solution.</v>
      </c>
      <c r="D128" s="64" t="str">
        <f>VLOOKUP($A128,Questions!$A$3:$X$333,20,0)&amp;""</f>
        <v>Follow-up inquiries for data encryption between the system and end-users will be institution/implementation specific.</v>
      </c>
    </row>
    <row r="129" spans="1:5" ht="54.75" customHeight="1" x14ac:dyDescent="0.3">
      <c r="A129" s="64" t="s">
        <v>343</v>
      </c>
      <c r="B129" s="64" t="str">
        <f>VLOOKUP($A129,Questions!$A$3:$X$333,2,0)&amp;""</f>
        <v>Is the storage of sensitive data encrypted using security protocols/algorithms (e.g., disk encryption, at-rest, files, and within a running database)?*</v>
      </c>
      <c r="C129" s="64" t="str">
        <f>VLOOKUP($A129,Questions!$A$3:$X$333,19,0)&amp;""</f>
        <v>The need for encryption at-rest is unique to your institution's implementation of a system. In particular, system components, architectures, and data flows all factor into the need for this control.</v>
      </c>
      <c r="D129" s="64" t="str">
        <f>VLOOKUP($A129,Questions!$A$3:$X$333,20,0)&amp;""</f>
        <v>Follow-up inquiries for data encryption at-rest will be institution/implementation specific.</v>
      </c>
      <c r="E129" s="58"/>
    </row>
    <row r="130" spans="1:5" ht="64.5" customHeight="1" x14ac:dyDescent="0.3">
      <c r="A130" s="64" t="s">
        <v>347</v>
      </c>
      <c r="B130" s="64" t="str">
        <f>VLOOKUP($A130,Questions!$A$3:$X$333,2,0)&amp;""</f>
        <v>Do all cryptographic modules in use in your solution conform to the Federal Information Processing Standards (FIPS PUB 140-2 or 140-3)?*</v>
      </c>
      <c r="C130" s="64" t="str">
        <f>VLOOKUP($A130,Questions!$A$3:$X$333,19,0)&amp;""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30" s="64" t="str">
        <f>VLOOKUP($A130,Questions!$A$3:$X$333,20,0)&amp;""</f>
        <v>If the solution provider cannot accommodate open standards encryption requirements, direct them to NIST's Cryptographic Standards and Guidelines document &lt;https://csrc.nist.gov/Projects/Cryptographic-Standards-and-Guidelines&gt;.</v>
      </c>
      <c r="E130" s="65"/>
    </row>
    <row r="131" spans="1:5" ht="53.25" customHeight="1" x14ac:dyDescent="0.3">
      <c r="A131" s="64" t="s">
        <v>352</v>
      </c>
      <c r="B131" s="64" t="str">
        <f>VLOOKUP($A131,Questions!$A$3:$X$333,2,0)&amp;""</f>
        <v>Will the institution's data be available within the system for a period of time at the completion of this contract?*</v>
      </c>
      <c r="C131" s="64" t="str">
        <f>VLOOKUP($A131,Questions!$A$3:$X$333,19,0)&amp;""</f>
        <v>When cancelling a solution, an institution will commonly want all institutional data that was provided to a solution provider. This questions allows the solution provider to state their general practices when a customer leaves their environment.</v>
      </c>
      <c r="D131" s="64" t="str">
        <f>VLOOKUP($A131,Questions!$A$3:$X$333,20,0)&amp;""</f>
        <v>A solution provider's response should be clear and concise. Be wary of vague responses to this questions and inquire about export specifics, as needed.</v>
      </c>
      <c r="E131" s="67"/>
    </row>
    <row r="132" spans="1:5" ht="50.25" customHeight="1" x14ac:dyDescent="0.3">
      <c r="A132" s="64" t="s">
        <v>355</v>
      </c>
      <c r="B132" s="64" t="str">
        <f>VLOOKUP($A132,Questions!$A$3:$X$333,2,0)&amp;""</f>
        <v>Are these rights retained even through a provider acquisition or bankruptcy event?*</v>
      </c>
      <c r="C132" s="64" t="str">
        <f>VLOOKUP($A132,Questions!$A$3:$X$333,19,0)&amp;""</f>
        <v>This question clarifies the position of the institution in the case of acquisition or bankruptcy. Expect clear responses to this question. If they are vague, be sure to follow up based on institutional counsel guidance.</v>
      </c>
      <c r="D132" s="64" t="str">
        <f>VLOOKUP($A132,Questions!$A$3:$X$333,20,0)&amp;""</f>
        <v>If a solution provider's response is unsatisfactory, engage institutional counsel to appropriately address any ownership concerns.</v>
      </c>
    </row>
    <row r="133" spans="1:5" ht="63.75" customHeight="1" x14ac:dyDescent="0.3">
      <c r="A133" s="64" t="s">
        <v>357</v>
      </c>
      <c r="B133" s="64" t="str">
        <f>VLOOKUP($A133,Questions!$A$3:$X$333,2,0)&amp;""</f>
        <v>Do backups containing the institution's data ever leave the institution's data zone either physically or via network routing?*</v>
      </c>
      <c r="C133" s="64" t="str">
        <f>VLOOKUP($A133,Questions!$A$3:$X$333,19,0)&amp;""</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33" s="64" t="str">
        <f>VLOOKUP($A133,Questions!$A$3:$X$333,20,0)&amp;""</f>
        <v>Follow-up inquiries for data backup procedures/practices will be institution/implementation specific.</v>
      </c>
    </row>
    <row r="134" spans="1:5" ht="56.25" customHeight="1" x14ac:dyDescent="0.3">
      <c r="A134" s="64" t="s">
        <v>359</v>
      </c>
      <c r="B134" s="64" t="str">
        <f>VLOOKUP($A134,Questions!$A$3:$X$333,2,0)&amp;""</f>
        <v>Is media used for long-term retention of business data and archival purposes stored in a secure, environmentally protected area?*</v>
      </c>
      <c r="C134" s="64" t="str">
        <f>VLOOKUP($A134,Questions!$A$3:$X$333,19,0)&amp;""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c r="D134" s="64" t="str">
        <f>VLOOKUP($A134,Questions!$A$3:$X$333,20,0)&amp;""</f>
        <v>Vague responses to this question should be investigated further. Ask for additional documentation and verify that procedure (and possibly training) exists to ensure proper media handling activity.</v>
      </c>
    </row>
    <row r="135" spans="1:5" ht="56.25" customHeight="1" x14ac:dyDescent="0.3">
      <c r="A135" s="64" t="s">
        <v>363</v>
      </c>
      <c r="B135" s="64" t="str">
        <f>VLOOKUP($A135,Questions!$A$3:$X$333,2,0)&amp;""</f>
        <v>At the completion of this contract, will data be returned to the institution and/or deleted from all your systems and archives?</v>
      </c>
      <c r="C135" s="64" t="str">
        <f>VLOOKUP($A135,Questions!$A$3:$X$333,19,0)&amp;""</f>
        <v>When cancelling a solution, an institution will commonly want all institutional data that was provided to a solution provider. This question allows the solution provider to state its general practices when a customer leaves its environment.</v>
      </c>
      <c r="D135" s="64" t="str">
        <f>VLOOKUP($A135,Questions!$A$3:$X$333,20,0)&amp;""</f>
        <v>A solution provider's response should be clear and concise. Be wary of vague responses to this questions and inquire about export specifics, as needed.</v>
      </c>
    </row>
    <row r="136" spans="1:5" ht="53.25" customHeight="1" x14ac:dyDescent="0.3">
      <c r="A136" s="64" t="s">
        <v>367</v>
      </c>
      <c r="B136" s="64" t="str">
        <f>VLOOKUP($A136,Questions!$A$3:$X$333,2,0)&amp;""</f>
        <v>Can the institution extract a full or partial backup of data?</v>
      </c>
      <c r="C136" s="64" t="str">
        <f>VLOOKUP($A136,Questions!$A$3:$X$333,19,0)&amp;""</f>
        <v>When cancelling a solution, an institution will commonly want all institutional data that was provided to a solution provider. The solution provider's response should verify if the institution can extract data or if it is a manual extraction by solution provider staff.</v>
      </c>
      <c r="D136" s="64" t="str">
        <f>VLOOKUP($A136,Questions!$A$3:$X$333,20,0)&amp;""</f>
        <v>A solution provider's response should be clear and concise. Be wary of vague responses to this questions and inquire about export specifics, as needed.</v>
      </c>
    </row>
    <row r="137" spans="1:5" ht="46.5" customHeight="1" x14ac:dyDescent="0.3">
      <c r="A137" s="64" t="s">
        <v>371</v>
      </c>
      <c r="B137" s="64" t="str">
        <f>VLOOKUP($A137,Questions!$A$3:$X$333,2,0)&amp;""</f>
        <v>Do current backups include all operating system software, utilities, security software, application software, and data files necessary for recovery?</v>
      </c>
      <c r="C137" s="64" t="str">
        <f>VLOOKUP($A137,Questions!$A$3:$X$333,19,0)&amp;""</f>
        <v>The purpose of this question is to define the scope of backup operations and the scope at which a solution provider may readily recover when backup restoration is required.</v>
      </c>
      <c r="D137" s="64" t="str">
        <f>VLOOKUP($A137,Questions!$A$3:$X$333,20,0)&amp;""</f>
        <v>Follow-up inquiries for backup content scope will be institution/implementation specific.</v>
      </c>
    </row>
    <row r="138" spans="1:5" ht="74.25" customHeight="1" x14ac:dyDescent="0.3">
      <c r="A138" s="64" t="s">
        <v>375</v>
      </c>
      <c r="B138" s="64" t="str">
        <f>VLOOKUP($A138,Questions!$A$3:$X$333,2,0)&amp;""</f>
        <v>Are you performing off-site backups (i.e., digitally moved off site)?</v>
      </c>
      <c r="C138" s="64" t="str">
        <f>VLOOKUP($A138,Questions!$A$3:$X$333,19,0)&amp;""</f>
        <v>When data is moved digitally (e.g., cloud provider, solution provider-owned facility, etc.) off-site, the policies and implemented procedures are important to know. The protections implemented to prevent compromise will be technical in nature and should be well-documented.</v>
      </c>
      <c r="D138" s="64" t="str">
        <f>VLOOKUP($A138,Questions!$A$3:$X$333,20,0)&amp;""</f>
        <v>Follow-up inquiries for off-site, digital backups will be institution/implementation specific.</v>
      </c>
    </row>
    <row r="139" spans="1:5" ht="56.25" customHeight="1" x14ac:dyDescent="0.3">
      <c r="A139" s="64" t="s">
        <v>381</v>
      </c>
      <c r="B139" s="64" t="str">
        <f>VLOOKUP($A139,Questions!$A$3:$X$333,2,0)&amp;""</f>
        <v>Are physical backups taken off-site (i.e., physically moved off site)?</v>
      </c>
      <c r="C139" s="64" t="str">
        <f>VLOOKUP($A139,Questions!$A$3:$X$333,19,0)&amp;""</f>
        <v>When data is moved physically (e.g.,HDD, print, etc.) off-site, the policies and implemented procedures are important to know. Unencrypted data taken outside secured areas introduces unnecessary risks.</v>
      </c>
      <c r="D139" s="64" t="str">
        <f>VLOOKUP($A139,Questions!$A$3:$X$333,20,0)&amp;""</f>
        <v>Follow-up inquiries for off-site, physical backups will be institution/implementation specific.</v>
      </c>
    </row>
    <row r="140" spans="1:5" ht="60" customHeight="1" x14ac:dyDescent="0.3">
      <c r="A140" s="64" t="s">
        <v>386</v>
      </c>
      <c r="B140" s="64" t="str">
        <f>VLOOKUP($A140,Questions!$A$3:$X$333,2,0)&amp;""</f>
        <v>Are data backups encrypted?</v>
      </c>
      <c r="C140" s="64" t="str">
        <f>VLOOKUP($A140,Questions!$A$3:$X$333,19,0)&amp;""</f>
        <v>The need for encryption at rest (for backups) is unique to your institution's implementation of a system. In particular, system components, architectures, and data flows all factor into the need for this control.</v>
      </c>
      <c r="D140" s="64" t="str">
        <f>VLOOKUP($A140,Questions!$A$3:$X$333,20,0)&amp;""</f>
        <v>Follow-up inquiries for data backup encryption at-rest will be institution/implementation specific.</v>
      </c>
    </row>
    <row r="141" spans="1:5" ht="72" customHeight="1" x14ac:dyDescent="0.3">
      <c r="A141" s="64" t="s">
        <v>387</v>
      </c>
      <c r="B141" s="64" t="str">
        <f>VLOOKUP($A141,Questions!$A$3:$X$333,2,0)&amp;""</f>
        <v>Do you have a media handling process that is documented and currently implemented that meets established business needs and regulatory requirements, including end-of-life, repurposing, and data-sanitization procedures?</v>
      </c>
      <c r="C141" s="64" t="str">
        <f>VLOOKUP($A141,Questions!$A$3:$X$333,19,0)&amp;""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1" s="64" t="str">
        <f>VLOOKUP($A141,Questions!$A$3:$X$333,20,0)&amp;""</f>
        <v>Vague responses to this question should be investigated further. Ask for additional documentation and verify that procedure (and possibly training) exists to ensure proper media handling activity.</v>
      </c>
    </row>
    <row r="142" spans="1:5" ht="56.25" customHeight="1" x14ac:dyDescent="0.3">
      <c r="A142" s="64" t="s">
        <v>389</v>
      </c>
      <c r="B142" s="64" t="str">
        <f>VLOOKUP($A142,Questions!$A$3:$X$333,2,0)&amp;""</f>
        <v>Does the process described in DATA-15 adhere to DoD 5220.22-M and/or NIST SP 800-88 standards?</v>
      </c>
      <c r="C142" s="64" t="str">
        <f>VLOOKUP($A142,Questions!$A$3:$X$333,19,0)&amp;""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2" s="64" t="str">
        <f>VLOOKUP($A142,Questions!$A$3:$X$333,20,0)&amp;""</f>
        <v>Follow-up inquiries for DoD 5220.22-M and/or SP800-88 standards will be institution specific.</v>
      </c>
    </row>
    <row r="143" spans="1:5" ht="68.25" customHeight="1" x14ac:dyDescent="0.3">
      <c r="A143" s="64" t="s">
        <v>393</v>
      </c>
      <c r="B143" s="64" t="str">
        <f>VLOOKUP($A143,Questions!$A$3:$X$333,2,0)&amp;""</f>
        <v>Does your staff (or third party) have access to institutional data (e.g., financial, PHI, or other sensitive information) through any means?</v>
      </c>
      <c r="C143" s="64" t="str">
        <f>VLOOKUP($A143,Questions!$A$3:$X$333,19,0)&amp;""</f>
        <v>Confidentiality is the focus of this question. Based on the capabilities of solution provider administrators, the institution may require additional safeguards to protect the confidentiality of data stored by or shared with a solution provider (e.g., additional layer of encryption, etc.).</v>
      </c>
      <c r="D143" s="64" t="str">
        <f>VLOOKUP($A143,Questions!$A$3:$X$333,20,0)&amp;""</f>
        <v>If institutional data is visible by the solution provider's system administrators, follow up with the solution provider to understand the scope of visibility, process/procedure that administrators follow, and use cases when administrators are allowed to access (view) institutional data.</v>
      </c>
    </row>
    <row r="144" spans="1:5" ht="143.25" customHeight="1" x14ac:dyDescent="0.3">
      <c r="A144" s="64" t="s">
        <v>399</v>
      </c>
      <c r="B144" s="64" t="str">
        <f>VLOOKUP($A144,Questions!$A$3:$X$333,2,0)&amp;""</f>
        <v>Do you have a documented and currently implemented strategy for securing employee workstations when they work remotely (i.e., not in a trusted computing environment)?</v>
      </c>
      <c r="C144" s="64" t="str">
        <f>VLOOKUP($A144,Questions!$A$3:$X$333,19,0)&amp;""</f>
        <v>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v>
      </c>
      <c r="D144" s="64" t="str">
        <f>VLOOKUP($A144,Questions!$A$3:$X$333,20,0)&amp;""</f>
        <v>Vague responses to this question should be investigated further. Ask for additional documentation and verify that procedure (and possibly training) exists to ensure proper customer data handling activity.</v>
      </c>
    </row>
    <row r="145" spans="1:5" ht="97.5" customHeight="1" x14ac:dyDescent="0.3">
      <c r="A145" s="64" t="s">
        <v>401</v>
      </c>
      <c r="B145" s="64" t="str">
        <f>VLOOKUP($A145,Questions!$A$3:$X$333,2,0)&amp;""</f>
        <v>Does the environment provide for dedicated single-tenant capabilities? If not, describe how your solution or environment separates data from different customers (e.g., logically, physically, single tenancy, multi-tenancy).</v>
      </c>
      <c r="C145" s="64" t="str">
        <f>VLOOKUP($A145,Questions!$A$3:$X$333,19,0)&amp;""</f>
        <v>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v>
      </c>
      <c r="D145" s="64" t="str">
        <f>VLOOKUP($A145,Questions!$A$3:$X$333,20,0)&amp;""</f>
        <v>Follow-up inquiries for dedicated single-tenant capabilities will be institution/implementation specific.</v>
      </c>
    </row>
    <row r="146" spans="1:5" ht="68.25" customHeight="1" x14ac:dyDescent="0.3">
      <c r="A146" s="64" t="s">
        <v>406</v>
      </c>
      <c r="B146" s="64" t="str">
        <f>VLOOKUP($A146,Questions!$A$3:$X$333,2,0)&amp;""</f>
        <v>Are ownership rights to all data, inputs, outputs, and metadata retained by the institution?</v>
      </c>
      <c r="C146" s="64" t="str">
        <f>VLOOKUP($A146,Questions!$A$3:$X$333,19,0)&amp;""</f>
        <v>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v>
      </c>
      <c r="D146" s="64" t="str">
        <f>VLOOKUP($A146,Questions!$A$3:$X$333,20,0)&amp;""</f>
        <v>If a solution provider's response is unsatisfactory, engage institutional counsel to appropriately address any ownership concerns.</v>
      </c>
    </row>
    <row r="147" spans="1:5" ht="60.75" customHeight="1" x14ac:dyDescent="0.3">
      <c r="A147" s="64" t="s">
        <v>409</v>
      </c>
      <c r="B147" s="64" t="str">
        <f>VLOOKUP($A147,Questions!$A$3:$X$333,2,0)&amp;""</f>
        <v>In the event of imminent bankruptcy, closing of business, or retirement of service, will you provide 90 days for customers to get their data out of the system and migrate applications?</v>
      </c>
      <c r="C147" s="64" t="str">
        <f>VLOOKUP($A147,Questions!$A$3:$X$333,19,0)&amp;""</f>
        <v>This question clarifies the position of the institution in the case of acquisition or bankruptcy. Expect clear responses to this question. If they are vague, be sure to follow up based on institutional counsel guidance.</v>
      </c>
      <c r="D147" s="64" t="str">
        <f>VLOOKUP($A147,Questions!$A$3:$X$333,20,0)&amp;""</f>
        <v>If a solution provider's response is unsatisfactory, engage institutional counsel to appropriately address any ownership concerns.</v>
      </c>
    </row>
    <row r="148" spans="1:5" ht="74.25" customHeight="1" x14ac:dyDescent="0.3">
      <c r="A148" s="64" t="s">
        <v>412</v>
      </c>
      <c r="B148" s="64" t="str">
        <f>VLOOKUP($A148,Questions!$A$3:$X$333,2,0)&amp;""</f>
        <v>Are involatile backup copies made according to predefined schedules and securely stored and protected?</v>
      </c>
      <c r="C148" s="64" t="str">
        <f>VLOOKUP($A148,Questions!$A$3:$X$333,19,0)&amp;""</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8" s="64" t="str">
        <f>VLOOKUP($A148,Questions!$A$3:$X$333,20,0)&amp;""</f>
        <v>An institution's use case will drive the requirements for backup strategy. Ensure that the institution's use case and risk tolerance can be met by solution provider systems.</v>
      </c>
    </row>
    <row r="149" spans="1:5" ht="81" customHeight="1" x14ac:dyDescent="0.25">
      <c r="A149" s="64" t="s">
        <v>416</v>
      </c>
      <c r="B149" s="64" t="str">
        <f>VLOOKUP($A149,Questions!$A$3:$X$333,2,0)&amp;""</f>
        <v>Do you have a cryptographic key management process (generation, exchange, storage, safeguards, use, vetting, and replacement) that is documented and currently implemented, for all system components (e.g., database, system, web, etc.)?</v>
      </c>
      <c r="C149" s="64" t="str">
        <f>VLOOKUP($A149,Questions!$A$3:$X$333,19,0)&amp;""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49" s="64" t="str">
        <f>VLOOKUP($A149,Questions!$A$3:$X$333,20,0)&amp;""</f>
        <v>Follow up with the solution provider to ensure that all components of the system are considered. This includes system-to-system, system-to-client, applications, system accounts, etc.</v>
      </c>
      <c r="E149" s="258" t="s">
        <v>1536</v>
      </c>
    </row>
    <row r="150" spans="1:5" ht="17.5" x14ac:dyDescent="0.3">
      <c r="A150" s="70" t="str">
        <f>VLOOKUP(LEFT($A151,4),'Auto Responses'!$N$4:$O$38,2,0)&amp;""</f>
        <v xml:space="preserve"> Datacenter</v>
      </c>
      <c r="B150" s="70"/>
      <c r="C150" s="63" t="str">
        <f>Questions!$S$2</f>
        <v>Reason for Question</v>
      </c>
      <c r="D150" s="63" t="str">
        <f>Questions!$T$2</f>
        <v>Follow-Up Inquiries/Responses</v>
      </c>
    </row>
    <row r="151" spans="1:5" ht="56.25" customHeight="1" x14ac:dyDescent="0.3">
      <c r="A151" s="64" t="s">
        <v>421</v>
      </c>
      <c r="B151" s="64" t="str">
        <f>VLOOKUP($A151,Questions!$A$3:$X$333,2,0)&amp;""</f>
        <v>Select your hosting option.</v>
      </c>
      <c r="C151" s="64" t="str">
        <f>VLOOKUP($A151,Questions!$A$3:$X$333,19,0)&amp;""</f>
        <v>Understanding the hosting environment may reveal infrastructure risks that may not be apparent by other means and provides context to the responses provided throughout this HECVAT.</v>
      </c>
      <c r="D151" s="64" t="str">
        <f>VLOOKUP($A151,Questions!$A$3:$X$333,20,0)&amp;""</f>
        <v>Follow-up inquiries for hosting options will be institution/implementation specific.</v>
      </c>
    </row>
    <row r="152" spans="1:5" ht="131.25" customHeight="1" x14ac:dyDescent="0.3">
      <c r="A152" s="64" t="s">
        <v>426</v>
      </c>
      <c r="B152" s="64" t="str">
        <f>VLOOKUP($A152,Questions!$A$3:$X$333,2,0)&amp;""</f>
        <v>Is a SOC 2 Type 2 report available for the hosting environment?</v>
      </c>
      <c r="C152" s="64" t="str">
        <f>VLOOKUP($A152,Questions!$A$3:$X$333,19,0)&amp;""</f>
        <v>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v>
      </c>
      <c r="D152" s="64" t="str">
        <f>VLOOKUP($A152,Questions!$A$3:$X$333,20,0)&amp;""</f>
        <v>Follow-up inquiries for additional solution provider's SOC 2 Type 2 reports will be institution/implementation specific.</v>
      </c>
    </row>
    <row r="153" spans="1:5" ht="99.75" customHeight="1" x14ac:dyDescent="0.3">
      <c r="A153" s="64" t="s">
        <v>428</v>
      </c>
      <c r="B153" s="64" t="str">
        <f>VLOOKUP($A153,Questions!$A$3:$X$333,2,0)&amp;""</f>
        <v>Are you generally able to accommodate storing each institution's data within its geographic region?</v>
      </c>
      <c r="C153" s="64" t="str">
        <f>VLOOKUP($A153,Questions!$A$3:$X$333,19,0)&amp;""</f>
        <v>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v>
      </c>
      <c r="D153" s="64" t="str">
        <f>VLOOKUP($A153,Questions!$A$3:$X$333,20,0)&amp;""</f>
        <v>If a solution provider is unable to accommodate storing/processing institutional data within specific regions, ask them why they are unable to. Try to determine if it's an infrastructure issue (scalability), a cost-reduction strategy (size/maturity), or some other issue.</v>
      </c>
      <c r="E153" s="58"/>
    </row>
    <row r="154" spans="1:5" ht="64.5" customHeight="1" x14ac:dyDescent="0.3">
      <c r="A154" s="64" t="s">
        <v>431</v>
      </c>
      <c r="B154" s="64" t="str">
        <f>VLOOKUP($A154,Questions!$A$3:$X$333,2,0)&amp;""</f>
        <v>Are the data centers staffed 24 hours a day, seven days a week (i.e., 24 x 7 x 365)?</v>
      </c>
      <c r="C154" s="64" t="str">
        <f>VLOOKUP($A154,Questions!$A$3:$X$333,19,0)&amp;""</f>
        <v>Solution Providers that operate their own datacenter(s) can implement their own monitoring strategy. Use the solution provider's response to this questions to verify/validate other responses related to ownership/co-location/physical security.</v>
      </c>
      <c r="D154" s="64" t="str">
        <f>VLOOKUP($A154,Questions!$A$3:$X$333,20,0)&amp;""</f>
        <v>Follow-up inquiries for data center staffing will be institution/implementation specific.</v>
      </c>
      <c r="E154" s="65"/>
    </row>
    <row r="155" spans="1:5" ht="72" customHeight="1" x14ac:dyDescent="0.3">
      <c r="A155" s="64" t="s">
        <v>436</v>
      </c>
      <c r="B155" s="64" t="str">
        <f>VLOOKUP($A155,Questions!$A$3:$X$333,2,0)&amp;""</f>
        <v>Are your servers separated from other companies via a physical barrier, such as a cage or hard walls?</v>
      </c>
      <c r="C155" s="64" t="str">
        <f>VLOOKUP($A155,Questions!$A$3:$X$333,19,0)&amp;""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5" s="64" t="str">
        <f>VLOOKUP($A155,Questions!$A$3:$X$333,20,0)&amp;""</f>
        <v>Follow-up inquiries for system physical security will be institution/implementation specific.</v>
      </c>
    </row>
    <row r="156" spans="1:5" ht="78" customHeight="1" x14ac:dyDescent="0.3">
      <c r="A156" s="64" t="s">
        <v>439</v>
      </c>
      <c r="B156" s="64" t="str">
        <f>VLOOKUP($A156,Questions!$A$3:$X$333,2,0)&amp;""</f>
        <v>Does a physical barrier fully enclose the physical space, preventing unauthorized physical contact with any of your devices?*</v>
      </c>
      <c r="C156" s="64" t="str">
        <f>VLOOKUP($A156,Questions!$A$3:$X$333,19,0)&amp;""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6" s="64" t="str">
        <f>VLOOKUP($A156,Questions!$A$3:$X$333,20,0)&amp;""</f>
        <v>Follow-up inquiries for system physical security will be institution/implementation specific.</v>
      </c>
    </row>
    <row r="157" spans="1:5" ht="68.25" customHeight="1" x14ac:dyDescent="0.3">
      <c r="A157" s="64" t="s">
        <v>441</v>
      </c>
      <c r="B157" s="64" t="str">
        <f>VLOOKUP($A157,Questions!$A$3:$X$333,2,0)&amp;""</f>
        <v>Are your primary and secondary data centers geographically diverse?</v>
      </c>
      <c r="C157" s="64" t="str">
        <f>VLOOKUP($A157,Questions!$A$3:$X$333,19,0)&amp;""</f>
        <v>When planning for business continuity and disaster recovery, considering geographic diversity of a solution provider's operating environment will help analysts better understand risk due to widespread technical issues as well as weather and environmental considerations.</v>
      </c>
      <c r="D157" s="64" t="str">
        <f>VLOOKUP($A157,Questions!$A$3:$X$333,20,0)&amp;""</f>
        <v>Follow-up inquiries for geographic diversity in datacenters will be institution/implementation specific.</v>
      </c>
    </row>
    <row r="158" spans="1:5" ht="67.5" customHeight="1" x14ac:dyDescent="0.3">
      <c r="A158" s="64" t="s">
        <v>446</v>
      </c>
      <c r="B158" s="64" t="str">
        <f>VLOOKUP($A158,Questions!$A$3:$X$333,2,0)&amp;""</f>
        <v>Is the service hosted in a high-availability environment?</v>
      </c>
      <c r="C158" s="64" t="str">
        <f>VLOOKUP($A158,Questions!$A$3:$X$333,19,0)&amp;""</f>
        <v>In the context of the CIA triad, this question is focused on the availability of a system (or set of systems).</v>
      </c>
      <c r="D158" s="64" t="str">
        <f>VLOOKUP($A158,Questions!$A$3:$X$333,20,0)&amp;""</f>
        <v>The weight placed on the solution provider's response will be specific to the institution's use case and solution requirements.</v>
      </c>
    </row>
    <row r="159" spans="1:5" ht="36" customHeight="1" x14ac:dyDescent="0.3">
      <c r="A159" s="64" t="s">
        <v>447</v>
      </c>
      <c r="B159" s="64" t="str">
        <f>VLOOKUP($A159,Questions!$A$3:$X$333,2,0)&amp;""</f>
        <v>Is redundant power available for all data centers where institutional data will reside?</v>
      </c>
      <c r="C159" s="64" t="str">
        <f>VLOOKUP($A159,Questions!$A$3:$X$333,19,0)&amp;""</f>
        <v>In the context of the CIA triad, this question is focused on the availability of a system (or set of systems).</v>
      </c>
      <c r="D159" s="64" t="str">
        <f>VLOOKUP($A159,Questions!$A$3:$X$333,20,0)&amp;""</f>
        <v>The weight placed on the solution provider's response will be specific to the institution's use case and solution requirements.</v>
      </c>
    </row>
    <row r="160" spans="1:5" ht="71.25" customHeight="1" x14ac:dyDescent="0.3">
      <c r="A160" s="64" t="s">
        <v>448</v>
      </c>
      <c r="B160" s="64" t="str">
        <f>VLOOKUP($A160,Questions!$A$3:$X$333,2,0)&amp;""</f>
        <v>Are redundant power strategies tested?*</v>
      </c>
      <c r="C160" s="64" t="str">
        <f>VLOOKUP($A160,Questions!$A$3:$X$333,19,0)&amp;""</f>
        <v>Installing (potential) redundant power and regularly testing strategies to ensure they will work when needed are very different. Vague responses to this question should be met with concern and appropriate follow up, based on your institution's risk tolerance.</v>
      </c>
      <c r="D160" s="64" t="str">
        <f>VLOOKUP($A160,Questions!$A$3:$X$333,20,0)&amp;""</f>
        <v>Follow-up inquiries for redundant power testing details will be institution/implementation specific.</v>
      </c>
      <c r="E160" s="67"/>
    </row>
    <row r="161" spans="1:5" ht="53.25" customHeight="1" x14ac:dyDescent="0.3">
      <c r="A161" s="64" t="s">
        <v>453</v>
      </c>
      <c r="B161" s="64" t="str">
        <f>VLOOKUP($A161,Questions!$A$3:$X$333,2,0)&amp;""</f>
        <v>Does the center where the data will reside have cooling and fire-suppression systems that are active and regularly tested?</v>
      </c>
      <c r="C161" s="64" t="str">
        <f>VLOOKUP($A161,Questions!$A$3:$X$333,19,0)&amp;""</f>
        <v>Installing appropriate environmental controls is crucial to maintaining the integrity of the hosting site. Vague responses to this question should be met with concern and appropriate follow up, based on your institutions risk tolerance.</v>
      </c>
      <c r="D161" s="64" t="str">
        <f>VLOOKUP($A161,Questions!$A$3:$X$333,20,0)&amp;""</f>
        <v>Follow-up inquiries for cooling and fire suppression systems will be institution/implementation specific.</v>
      </c>
    </row>
    <row r="162" spans="1:5" ht="52.5" customHeight="1" x14ac:dyDescent="0.3">
      <c r="A162" s="64" t="s">
        <v>456</v>
      </c>
      <c r="B162" s="64" t="str">
        <f>VLOOKUP($A162,Questions!$A$3:$X$333,2,0)&amp;""</f>
        <v>Do you have Internet Service Provider (ISP) redundancy?</v>
      </c>
      <c r="C162" s="64" t="str">
        <f>VLOOKUP($A162,Questions!$A$3:$X$333,19,0)&amp;""</f>
        <v>In the context of the CIA triad, this question is focused on the availability of a system (or set of systems).</v>
      </c>
      <c r="D162" s="64" t="str">
        <f>VLOOKUP($A162,Questions!$A$3:$X$333,20,0)&amp;""</f>
        <v>The weight placed on the solution provider's response will be specific to the institution's use case and solution requirements.</v>
      </c>
    </row>
    <row r="163" spans="1:5" ht="39" customHeight="1" x14ac:dyDescent="0.3">
      <c r="A163" s="64" t="s">
        <v>460</v>
      </c>
      <c r="B163" s="64" t="str">
        <f>VLOOKUP($A163,Questions!$A$3:$X$333,2,0)&amp;""</f>
        <v>Does every data center where the institution's data will reside have multiple telephone company or network provider entrances to the facility?</v>
      </c>
      <c r="C163" s="64" t="str">
        <f>VLOOKUP($A163,Questions!$A$3:$X$333,19,0)&amp;""</f>
        <v>In the context of the CIA triad, this question is focused on the availability of a system (or set of systems).</v>
      </c>
      <c r="D163" s="64" t="str">
        <f>VLOOKUP($A163,Questions!$A$3:$X$333,20,0)&amp;""</f>
        <v>The weight placed on the solution provider's response will be specific to the institution's use case and solution requirements.</v>
      </c>
    </row>
    <row r="164" spans="1:5" ht="56.25" customHeight="1" x14ac:dyDescent="0.3">
      <c r="A164" s="64" t="s">
        <v>462</v>
      </c>
      <c r="B164" s="64" t="str">
        <f>VLOOKUP($A164,Questions!$A$3:$X$333,2,0)&amp;""</f>
        <v>Do you require multifactor authentication for all administrative accounts in your environment?</v>
      </c>
      <c r="C164" s="64" t="str">
        <f>VLOOKUP($A164,Questions!$A$3:$X$333,19,0)&amp;""</f>
        <v>2FA/MFA, implemented correctly, strengthens the security state of a system. 2FA/MFA is commonly implemented and in many use cases is a requirement for account protection purposes.</v>
      </c>
      <c r="D164" s="64" t="str">
        <f>VLOOKUP($A164,Questions!$A$3:$X$333,20,0)&amp;""</f>
        <v>Ask the solution provider about hardware and software options, future roadmap for implementations and support, etc.</v>
      </c>
    </row>
    <row r="165" spans="1:5" ht="51" customHeight="1" x14ac:dyDescent="0.3">
      <c r="A165" s="64" t="s">
        <v>466</v>
      </c>
      <c r="B165" s="64" t="str">
        <f>VLOOKUP($A165,Questions!$A$3:$X$333,2,0)&amp;""</f>
        <v>Are you using your cloud provider's available hardening tools or pre-hardened images?</v>
      </c>
      <c r="C165" s="64" t="str">
        <f>VLOOKUP($A165,Questions!$A$3:$X$333,19,0)&amp;""</f>
        <v>In the context of the CIA triad, this question is focused on the integrity of a system (or set of systems).</v>
      </c>
      <c r="D165" s="64" t="str">
        <f>VLOOKUP($A165,Questions!$A$3:$X$333,20,0)&amp;""</f>
        <v>Ask the solution provider about their system lifecycle practices and security methodology.</v>
      </c>
    </row>
    <row r="166" spans="1:5" ht="83.25" customHeight="1" x14ac:dyDescent="0.3">
      <c r="A166" s="64" t="s">
        <v>470</v>
      </c>
      <c r="B166" s="64" t="str">
        <f>VLOOKUP($A166,Questions!$A$3:$X$333,2,0)&amp;""</f>
        <v>Does your cloud solution provider have access to your encryption keys?</v>
      </c>
      <c r="C166" s="64" t="str">
        <f>VLOOKUP($A166,Questions!$A$3:$X$333,19,0)&amp;""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66" s="64" t="str">
        <f>VLOOKUP($A166,Questions!$A$3:$X$333,20,0)&amp;""</f>
        <v>Follow up with the solution provider to ensure that all components of the system are considered. This includes system-to-system, system-to-client, applications, system accounts, etc.</v>
      </c>
      <c r="E166" s="67"/>
    </row>
    <row r="167" spans="1:5" ht="17.5" x14ac:dyDescent="0.3">
      <c r="A167" s="70" t="str">
        <f>VLOOKUP(LEFT($A168,4),'Auto Responses'!$N$4:$O$38,2,0)&amp;""</f>
        <v xml:space="preserve"> Firewalls, IDS, IPS, and Networking</v>
      </c>
      <c r="B167" s="70"/>
      <c r="C167" s="63" t="str">
        <f>Questions!$S$2</f>
        <v>Reason for Question</v>
      </c>
      <c r="D167" s="63" t="str">
        <f>Questions!$T$2</f>
        <v>Follow-Up Inquiries/Responses</v>
      </c>
    </row>
    <row r="168" spans="1:5" ht="40.5" x14ac:dyDescent="0.3">
      <c r="A168" s="64" t="s">
        <v>476</v>
      </c>
      <c r="B168" s="64" t="str">
        <f>VLOOKUP($A168,Questions!$A$3:$X$333,2,0)&amp;""</f>
        <v>Are you utilizing a stateful packet inspection (SPI) firewall?*</v>
      </c>
      <c r="C168" s="64" t="str">
        <f>VLOOKUP($A168,Questions!$A$3:$X$333,19,0)&amp;""</f>
        <v>The use case, vendor infrastructure, and types of services offered will greatly affect the need for various firewalling devices. The focus of this question is integrity, ensuring that the systems hosting institutional data are limited in need-only communications.</v>
      </c>
      <c r="D168" s="64" t="str">
        <f>VLOOKUP($A168,Questions!$A$3:$X$333,20,0)&amp;""</f>
        <v>Follow-up inquiries for firewall capabilities will be institution/implementation specific.</v>
      </c>
    </row>
    <row r="169" spans="1:5" ht="63.75" customHeight="1" x14ac:dyDescent="0.3">
      <c r="A169" s="64" t="s">
        <v>479</v>
      </c>
      <c r="B169" s="64" t="str">
        <f>VLOOKUP($A169,Questions!$A$3:$X$333,2,0)&amp;""</f>
        <v>Do you have a documented policy for firewall change requests?*</v>
      </c>
      <c r="C169" s="64" t="str">
        <f>VLOOKUP($A169,Questions!$A$3:$X$333,19,0)&amp;""</f>
        <v>In the context of the CIA triad, this question is focused on system integrity, ensuring that system changes are only executed by authorized users. Any change to a verified, known, secure environment should be carefully evaluated by stakeholders in a structured manner.</v>
      </c>
      <c r="D169" s="64" t="str">
        <f>VLOOKUP($A169,Questions!$A$3:$X$333,20,0)&amp;""</f>
        <v>Follow-up inquiries for firewall change requests will be institution/implementation specific.</v>
      </c>
      <c r="E169" s="58"/>
    </row>
    <row r="170" spans="1:5" ht="71.25" customHeight="1" x14ac:dyDescent="0.3">
      <c r="A170" s="64" t="s">
        <v>484</v>
      </c>
      <c r="B170" s="64" t="str">
        <f>VLOOKUP($A170,Questions!$A$3:$X$333,2,0)&amp;""</f>
        <v>Have you implemented an intrusion detection system (network-based)?*</v>
      </c>
      <c r="C170" s="64" t="str">
        <f>VLOOKUP($A170,Questions!$A$3:$X$333,19,0)&amp;""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0" s="64" t="str">
        <f>VLOOKUP($A170,Questions!$A$3:$X$333,20,0)&amp;""</f>
        <v>A security program with limited resources for event detection is not effective. Inquiries should include training for staff, reasoning behind not using IDS technologies, and how systems are monitored. Additional questions about a SIEM and other tool may be appropriate.</v>
      </c>
      <c r="E170" s="65"/>
    </row>
    <row r="171" spans="1:5" ht="72" customHeight="1" x14ac:dyDescent="0.3">
      <c r="A171" s="64" t="s">
        <v>489</v>
      </c>
      <c r="B171" s="64" t="str">
        <f>VLOOKUP($A171,Questions!$A$3:$X$333,2,0)&amp;""</f>
        <v>Do you employ host-based intrusion detection?*</v>
      </c>
      <c r="C171" s="64" t="str">
        <f>VLOOKUP($A171,Questions!$A$3:$X$333,19,0)&amp;""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1" s="64" t="str">
        <f>VLOOKUP($A171,Questions!$A$3:$X$333,20,0)&amp;""</f>
        <v>Ask the solution provider to summarize why host-based intrusion detection tools are not implemented in their environment. What compensating controls are in place to detect configuration changes and/or failures of integrity?</v>
      </c>
    </row>
    <row r="172" spans="1:5" ht="57.75" customHeight="1" x14ac:dyDescent="0.3">
      <c r="A172" s="64" t="s">
        <v>492</v>
      </c>
      <c r="B172" s="64" t="str">
        <f>VLOOKUP($A172,Questions!$A$3:$X$333,2,0)&amp;""</f>
        <v>Are audit logs available for all changes to the network, firewall, IDS, and IPS systems?*</v>
      </c>
      <c r="C172" s="64" t="str">
        <f>VLOOKUP($A172,Questions!$A$3:$X$333,19,0)&amp;""</f>
        <v>Strong logging capabilities are vital to the proper management of a network. Implementing an immature system that lacks sufficient logging capabilities exposes an institution to great risk.</v>
      </c>
      <c r="D172" s="64" t="str">
        <f>VLOOKUP($A172,Questions!$A$3:$X$333,20,0)&amp;""</f>
        <v>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v>
      </c>
    </row>
    <row r="173" spans="1:5" ht="51" customHeight="1" x14ac:dyDescent="0.3">
      <c r="A173" s="64" t="s">
        <v>494</v>
      </c>
      <c r="B173" s="64" t="str">
        <f>VLOOKUP($A173,Questions!$A$3:$X$333,2,0)&amp;""</f>
        <v>Is authority for firewall change approval documented? Please list approver names or titles in Additional Info.</v>
      </c>
      <c r="C173" s="64" t="str">
        <f>VLOOKUP($A173,Questions!$A$3:$X$333,19,0)&amp;""</f>
        <v>Modifications to firewall rule sets can have significant repercussions. To ensure the integrity of the rule set, this question targets the individual (or responsible party) for changes and the reasoning behind their authority.</v>
      </c>
      <c r="D173" s="64" t="str">
        <f>VLOOKUP($A173,Questions!$A$3:$X$333,20,0)&amp;""</f>
        <v>Ensure that a separation of duties exists in network security configurations. Pay close attention to responsibility overlap in small organizations, where staff often fill multiple roles.</v>
      </c>
    </row>
    <row r="174" spans="1:5" ht="72.75" customHeight="1" x14ac:dyDescent="0.3">
      <c r="A174" s="64" t="s">
        <v>496</v>
      </c>
      <c r="B174" s="64" t="str">
        <f>VLOOKUP($A174,Questions!$A$3:$X$333,2,0)&amp;""</f>
        <v>Have you implemented an intrusion prevention system (network-based)?</v>
      </c>
      <c r="C174" s="64" t="str">
        <f>VLOOKUP($A174,Questions!$A$3:$X$333,19,0)&amp;""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4" s="64" t="str">
        <f>VLOOKUP($A174,Questions!$A$3:$X$333,20,0)&amp;""</f>
        <v>A security program with limited resources for active prevention is inefficient. Inquiries should include training for staff, reasoning behind not using IPS technologies, and how systems are actively protected and how malicious activity is stopped.</v>
      </c>
    </row>
    <row r="175" spans="1:5" ht="72.75" customHeight="1" x14ac:dyDescent="0.3">
      <c r="A175" s="64" t="s">
        <v>499</v>
      </c>
      <c r="B175" s="64" t="str">
        <f>VLOOKUP($A175,Questions!$A$3:$X$333,2,0)&amp;""</f>
        <v>Do you employ host-based intrusion prevention?</v>
      </c>
      <c r="C175" s="64" t="str">
        <f>VLOOKUP($A175,Questions!$A$3:$X$333,19,0)&amp;""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5" s="64" t="str">
        <f>VLOOKUP($A175,Questions!$A$3:$X$333,20,0)&amp;""</f>
        <v>Ask the solution provider to summarize why host-based intrusion prevention tools are not implemented in their environment. What compensating controls are in place to detect malicious activity and to actively prevent its function?</v>
      </c>
    </row>
    <row r="176" spans="1:5" ht="66.75" customHeight="1" x14ac:dyDescent="0.3">
      <c r="A176" s="64" t="s">
        <v>504</v>
      </c>
      <c r="B176" s="64" t="str">
        <f>VLOOKUP($A176,Questions!$A$3:$X$333,2,0)&amp;""</f>
        <v>Are you employing any next-generation persistent threat (NGPT) monitoring?</v>
      </c>
      <c r="C176" s="64" t="str">
        <f>VLOOKUP($A176,Questions!$A$3:$X$333,19,0)&amp;""</f>
        <v>This question is primarily focused on determining the maturity of a solution provider's security program and their ability to implement and operate cutting-edge technologies. Investment in advanced technologies may indicate appropriate security program capabilities.</v>
      </c>
      <c r="D176" s="64" t="str">
        <f>VLOOKUP($A176,Questions!$A$3:$X$333,20,0)&amp;""</f>
        <v>Follow-up inquiries for next-generation persistent threat monitoring will be institution/implementation specific.</v>
      </c>
    </row>
    <row r="177" spans="1:5" ht="70.5" customHeight="1" x14ac:dyDescent="0.3">
      <c r="A177" s="64" t="s">
        <v>509</v>
      </c>
      <c r="B177" s="64" t="str">
        <f>VLOOKUP($A177,Questions!$A$3:$X$333,2,0)&amp;""</f>
        <v>Is intrusion monitoring performed internally or by a third-party service?</v>
      </c>
      <c r="C177" s="64" t="str">
        <f>VLOOKUP($A177,Questions!$A$3:$X$333,19,0)&amp;""</f>
        <v>This question is primarily focused on the capability of a solution provider's security program. Understanding the size and skillsets of a solution provider (taken from other responses) is needed to determine the appropriateness of the solution provider's response to this question.</v>
      </c>
      <c r="D177" s="64" t="str">
        <f>VLOOKUP($A177,Questions!$A$3:$X$333,20,0)&amp;""</f>
        <v>Follow-up inquiries for intrusion monitoring will be institution/implementation specific.</v>
      </c>
    </row>
    <row r="178" spans="1:5" ht="63.75" customHeight="1" x14ac:dyDescent="0.25">
      <c r="A178" s="64" t="s">
        <v>513</v>
      </c>
      <c r="B178" s="64" t="str">
        <f>VLOOKUP($A178,Questions!$A$3:$X$333,2,0)&amp;""</f>
        <v>Do you monitor for intrusions on a 24 x 7 x 365 basis?</v>
      </c>
      <c r="C178" s="64" t="str">
        <f>VLOOKUP($A178,Questions!$A$3:$X$333,19,0)&amp;""</f>
        <v>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v>
      </c>
      <c r="D178" s="64" t="str">
        <f>VLOOKUP($A178,Questions!$A$3:$X$333,20,0)&amp;""</f>
        <v>Follow-up inquiries for 24 x 7 x 365 monitoring will be institution/implementation specific.</v>
      </c>
      <c r="E178" s="258" t="s">
        <v>1536</v>
      </c>
    </row>
    <row r="179" spans="1:5" ht="17.5" x14ac:dyDescent="0.3">
      <c r="A179" s="70" t="str">
        <f>VLOOKUP(LEFT($A180,4),'Auto Responses'!$N$4:$O$38,2,0)&amp;""</f>
        <v xml:space="preserve"> Policies, Processes, and Procedures</v>
      </c>
      <c r="B179" s="70"/>
      <c r="C179" s="63" t="str">
        <f>Questions!$S$2</f>
        <v>Reason for Question</v>
      </c>
      <c r="D179" s="63" t="str">
        <f>Questions!$T$2</f>
        <v>Follow-Up Inquiries/Responses</v>
      </c>
    </row>
    <row r="180" spans="1:5" ht="69" customHeight="1" x14ac:dyDescent="0.3">
      <c r="A180" s="64" t="s">
        <v>517</v>
      </c>
      <c r="B180" s="64" t="str">
        <f>VLOOKUP($A180,Questions!$A$3:$X$333,2,0)&amp;""</f>
        <v>Do you have a documented patch management process?*</v>
      </c>
      <c r="C180" s="64" t="str">
        <f>VLOOKUP($A180,Questions!$A$3:$X$333,19,0)&amp;""</f>
        <v>In the context of the CIA triad, this question is focused on system integrity, ensuring that system changes are only executed according to policy. Additionally, it is expected that devices used to access the solution provider's systems are properly managed and secured.</v>
      </c>
      <c r="D180" s="64" t="str">
        <f>VLOOKUP($A180,Questions!$A$3:$X$333,20,0)&amp;""</f>
        <v>Follow up with a robust question set if the solution provider cannot clearly state full control of their system patching strategy. Questions about patch testing, testing environments, threat mitigation, incident remediation, etc., are appropriate.</v>
      </c>
    </row>
    <row r="181" spans="1:5" ht="51" customHeight="1" x14ac:dyDescent="0.3">
      <c r="A181" s="64" t="s">
        <v>518</v>
      </c>
      <c r="B181" s="64" t="str">
        <f>VLOOKUP($A181,Questions!$A$3:$X$333,2,0)&amp;""</f>
        <v>Can your organization comply with institutional policies on privacy and data protection with regard to users of institutional systems, if required?*</v>
      </c>
      <c r="C181" s="64" t="str">
        <f>VLOOKUP($A181,Questions!$A$3:$X$333,19,0)&amp;""</f>
        <v>This is a general inquiry to determine if the solution provider has reviewed the institution's policies and is committed to complying with them.</v>
      </c>
      <c r="D181" s="64" t="str">
        <f>VLOOKUP($A181,Questions!$A$3:$X$333,20,0)&amp;""</f>
        <v>If a solution provider is vague in their response, follow up with direct questions about the institution's policies and ensure the expectation of compliance is clear with the solution provider.</v>
      </c>
      <c r="E181" s="58"/>
    </row>
    <row r="182" spans="1:5" ht="43.5" customHeight="1" x14ac:dyDescent="0.3">
      <c r="A182" s="64" t="s">
        <v>520</v>
      </c>
      <c r="B182" s="64" t="str">
        <f>VLOOKUP($A182,Questions!$A$3:$X$333,2,0)&amp;""</f>
        <v>Is your company subject to the institution's geographic region's laws and regulations?*</v>
      </c>
      <c r="C182" s="64" t="str">
        <f>VLOOKUP($A182,Questions!$A$3:$X$333,19,0)&amp;""</f>
        <v>This is a general inquiry to determine if the solution provider is well-versed in applicable laws and regulations that apply in the institution's region of business operation.</v>
      </c>
      <c r="D182" s="64" t="str">
        <f>VLOOKUP($A182,Questions!$A$3:$X$333,20,0)&amp;""</f>
        <v>If a solution provider is vague in their response, follow up with direct questions about doing business in your state/region/country and any laws that are pertinent to the institution.</v>
      </c>
      <c r="E182" s="65"/>
    </row>
    <row r="183" spans="1:5" ht="65.25" customHeight="1" x14ac:dyDescent="0.3">
      <c r="A183" s="64" t="s">
        <v>524</v>
      </c>
      <c r="B183" s="64" t="str">
        <f>VLOOKUP($A183,Questions!$A$3:$X$333,2,0)&amp;""</f>
        <v>Can you accommodate encryption requirements using open standards?</v>
      </c>
      <c r="C183" s="64" t="str">
        <f>VLOOKUP($A183,Questions!$A$3:$X$333,19,0)&amp;""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83" s="64" t="str">
        <f>VLOOKUP($A183,Questions!$A$3:$X$333,20,0)&amp;""</f>
        <v>If the solution provider cannot accommodate open standards encryption requirements, direct them to NIST's Cryptographic Standards and Guidelines document &lt;https://csrc.nist.gov/Projects/Cryptographic-Standards-and-Guidelines&gt;.</v>
      </c>
    </row>
    <row r="184" spans="1:5" ht="58.5" customHeight="1" x14ac:dyDescent="0.3">
      <c r="A184" s="64" t="s">
        <v>528</v>
      </c>
      <c r="B184" s="64" t="str">
        <f>VLOOKUP($A184,Questions!$A$3:$X$333,2,0)&amp;""</f>
        <v>Do you have a documented systems development life cycle (SDLC)?</v>
      </c>
      <c r="C184" s="64" t="str">
        <f>VLOOKUP($A184,Questions!$A$3:$X$333,19,0)&amp;""</f>
        <v>Mature solution lifecycle management can position a solution provider to sufficiently plan, implement, and manage systems that better protect institutional data.</v>
      </c>
      <c r="D184" s="64" t="str">
        <f>VLOOKUP($A184,Questions!$A$3:$X$333,20,0)&amp;""</f>
        <v>Although withdrawn by NIST, the Security Considerations in the Systems Development Life Cycle (SP 800-64r2) document is an excellent resource to provide guidance to solution providers (i.e., set expectations). Follow-up questions to SDLC use will be institution/implementation specific.</v>
      </c>
    </row>
    <row r="185" spans="1:5" ht="65.25" customHeight="1" x14ac:dyDescent="0.3">
      <c r="A185" s="64" t="s">
        <v>532</v>
      </c>
      <c r="B185" s="64" t="str">
        <f>VLOOKUP($A185,Questions!$A$3:$X$333,2,0)&amp;""</f>
        <v>Do you perform background screenings or multi-state background checks on all employees prior to their first day of work?</v>
      </c>
      <c r="C185" s="64" t="str">
        <f>VLOOKUP($A185,Questions!$A$3:$X$333,19,0)&amp;""</f>
        <v>The use of detective and preventive controls in the hiring process serves a valuable role in protecting institutional data. As these are often HR documented policies, a solution provider should have their practices well-documented and ready for review, upon request.</v>
      </c>
      <c r="D185" s="64" t="str">
        <f>VLOOKUP($A185,Questions!$A$3:$X$333,20,0)&amp;""</f>
        <v>Ask the solution provider if background checks and/or screening are conducted in any capacity, at any time during the employment period. Ask about the precautions they take to ensure the intellectual property is secured and inquire if user data is treated in an appropriate manner.</v>
      </c>
    </row>
    <row r="186" spans="1:5" ht="56.25" customHeight="1" x14ac:dyDescent="0.3">
      <c r="A186" s="64" t="s">
        <v>535</v>
      </c>
      <c r="B186" s="64" t="str">
        <f>VLOOKUP($A186,Questions!$A$3:$X$333,2,0)&amp;""</f>
        <v>Do you require new employees to fill out agreements and review policies?</v>
      </c>
      <c r="C186" s="64" t="str">
        <f>VLOOKUP($A186,Questions!$A$3:$X$333,19,0)&amp;""</f>
        <v>Setting the expectation of performance and increasing awareness of security-related responsibilities are part of these initial-hiring documents. Oftentimes these agreements and reviews are conducted during orientation for new employees.</v>
      </c>
      <c r="D186" s="64" t="str">
        <f>VLOOKUP($A186,Questions!$A$3:$X$333,20,0)&amp;""</f>
        <v>If a solution provider's practices are not clear, inquire about training requirements for employees, especially the frequency and scope of content.</v>
      </c>
    </row>
    <row r="187" spans="1:5" ht="141.75" customHeight="1" x14ac:dyDescent="0.3">
      <c r="A187" s="64" t="s">
        <v>537</v>
      </c>
      <c r="B187" s="64" t="str">
        <f>VLOOKUP($A187,Questions!$A$3:$X$333,2,0)&amp;""</f>
        <v>Do you have a documented information security policy?</v>
      </c>
      <c r="C187" s="64" t="str">
        <f>VLOOKUP($A187,Questions!$A$3:$X$333,19,0)&amp;""</f>
        <v>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v>
      </c>
      <c r="D187" s="64" t="str">
        <f>VLOOKUP($A187,Questions!$A$3:$X$333,20,0)&amp;""</f>
        <v>If the solution provider does not have an incident response plan, point them to the NIST Computer Security Incident Handling Guide &lt;https://csrc.nist.gov/publications/detail/sp/800-61/rev-2/final&gt;.</v>
      </c>
    </row>
    <row r="188" spans="1:5" ht="70.5" customHeight="1" x14ac:dyDescent="0.3">
      <c r="A188" s="64" t="s">
        <v>541</v>
      </c>
      <c r="B188" s="64" t="str">
        <f>VLOOKUP($A188,Questions!$A$3:$X$333,2,0)&amp;""</f>
        <v>Are information security principles designed into the product lifecycle?</v>
      </c>
      <c r="C188" s="64" t="str">
        <f>VLOOKUP($A188,Questions!$A$3:$X$333,19,0)&amp;""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188" s="64" t="str">
        <f>VLOOKUP($A188,Questions!$A$3:$X$333,20,0)&amp;""</f>
        <v>If information security principles are not designed into the product lifecycle, point the solution provider to OWASP's Secure Coding Practices - Quick Reference Guide &lt;https://www.owasp.org/index.php/OWASP_Secure_Coding_Practices_-_Quick_Reference_Guide&gt;.</v>
      </c>
    </row>
    <row r="189" spans="1:5" ht="39" customHeight="1" x14ac:dyDescent="0.3">
      <c r="A189" s="64" t="s">
        <v>546</v>
      </c>
      <c r="B189" s="64" t="str">
        <f>VLOOKUP($A189,Questions!$A$3:$X$333,2,0)&amp;""</f>
        <v>Will you comply with applicable breach notification laws?</v>
      </c>
      <c r="C189" s="64" t="str">
        <f>VLOOKUP($A189,Questions!$A$3:$X$333,19,0)&amp;""</f>
        <v>This is a general inquiry to determine if the solution provider is well-versed in applicable laws and regulations that apply in the institution's region of business operation.</v>
      </c>
      <c r="D189" s="64" t="str">
        <f>VLOOKUP($A189,Questions!$A$3:$X$333,20,0)&amp;""</f>
        <v>If a solution provider is vague in their response, follow up with direct questions about doing business in your state/region/country and any laws that are pertinent to the institution.</v>
      </c>
    </row>
    <row r="190" spans="1:5" ht="68.25" customHeight="1" x14ac:dyDescent="0.3">
      <c r="A190" s="64" t="s">
        <v>550</v>
      </c>
      <c r="B190" s="64" t="str">
        <f>VLOOKUP($A190,Questions!$A$3:$X$333,2,0)&amp;""</f>
        <v>Do you have an information security awareness program?</v>
      </c>
      <c r="C190" s="64" t="str">
        <f>VLOOKUP($A190,Questions!$A$3:$X$333,19,0)&amp;""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0" s="64" t="str">
        <f>VLOOKUP($A190,Questions!$A$3:$X$333,20,0)&amp;""</f>
        <v>Follow-up inquiries for information security awareness programs will be institution/implementation specific.</v>
      </c>
      <c r="E190" s="67"/>
    </row>
    <row r="191" spans="1:5" ht="66.75" customHeight="1" x14ac:dyDescent="0.3">
      <c r="A191" s="64" t="s">
        <v>555</v>
      </c>
      <c r="B191" s="64" t="str">
        <f>VLOOKUP($A191,Questions!$A$3:$X$333,2,0)&amp;""</f>
        <v>Is security awareness training mandatory for all employees?</v>
      </c>
      <c r="C191" s="64" t="str">
        <f>VLOOKUP($A191,Questions!$A$3:$X$333,19,0)&amp;""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1" s="64" t="str">
        <f>VLOOKUP($A191,Questions!$A$3:$X$333,20,0)&amp;""</f>
        <v>Follow-up inquiries for information security awareness programs will be institution/implementation specific.</v>
      </c>
    </row>
    <row r="192" spans="1:5" ht="66.75" customHeight="1" x14ac:dyDescent="0.3">
      <c r="A192" s="64" t="s">
        <v>559</v>
      </c>
      <c r="B192" s="64" t="str">
        <f>VLOOKUP($A192,Questions!$A$3:$X$333,2,0)&amp;""</f>
        <v>Do you have process and procedure(s) documented, and currently followed, that require a review and update of the access list(s) for privileged accounts?</v>
      </c>
      <c r="C192" s="64" t="str">
        <f>VLOOKUP($A192,Questions!$A$3:$X$333,19,0)&amp;""</f>
        <v>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v>
      </c>
      <c r="D192" s="64" t="str">
        <f>VLOOKUP($A192,Questions!$A$3:$X$333,20,0)&amp;""</f>
        <v>Ask the solution provider to summarize their implemented policies and/or procedures.</v>
      </c>
    </row>
    <row r="193" spans="1:5" ht="71.25" customHeight="1" x14ac:dyDescent="0.3">
      <c r="A193" s="64" t="s">
        <v>563</v>
      </c>
      <c r="B193" s="64" t="str">
        <f>VLOOKUP($A193,Questions!$A$3:$X$333,2,0)&amp;""</f>
        <v>Do you have documented, and currently implemented, internal audit processes and procedures?</v>
      </c>
      <c r="C193" s="64" t="str">
        <f>VLOOKUP($A193,Questions!$A$3:$X$333,19,0)&amp;""</f>
        <v>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v>
      </c>
      <c r="D193" s="64" t="str">
        <f>VLOOKUP($A193,Questions!$A$3:$X$333,20,0)&amp;""</f>
        <v>Follow-up inquiries for internal audit processes and procedures will be institution/implementation specific.</v>
      </c>
      <c r="E193" s="58"/>
    </row>
    <row r="194" spans="1:5" ht="44.25" customHeight="1" x14ac:dyDescent="0.25">
      <c r="A194" s="64" t="s">
        <v>568</v>
      </c>
      <c r="B194" s="64" t="str">
        <f>VLOOKUP($A194,Questions!$A$3:$X$333,2,0)&amp;""</f>
        <v>Does your organization have physical security controls and policies in place?</v>
      </c>
      <c r="C194" s="64" t="str">
        <f>VLOOKUP($A194,Questions!$A$3:$X$333,19,0)&amp;""</f>
        <v>This question aims to understand the physical security state of the solution provider's operating environment and whether or not physical assets are appropriately protected.</v>
      </c>
      <c r="D194" s="64" t="str">
        <f>VLOOKUP($A194,Questions!$A$3:$X$333,20,0)&amp;""</f>
        <v>Follow-up inquiries for physical security controls and policies will be institution/implementation specific.</v>
      </c>
      <c r="E194" s="258" t="s">
        <v>1536</v>
      </c>
    </row>
    <row r="195" spans="1:5" ht="17.5" x14ac:dyDescent="0.3">
      <c r="A195" s="70" t="str">
        <f>VLOOKUP(LEFT($A196,4),'Auto Responses'!$N$4:$O$38,2,0)&amp;""</f>
        <v xml:space="preserve"> Incident Handling</v>
      </c>
      <c r="B195" s="70"/>
      <c r="C195" s="63" t="str">
        <f>Questions!$S$2</f>
        <v>Reason for Question</v>
      </c>
      <c r="D195" s="63" t="str">
        <f>Questions!$T$2</f>
        <v>Follow-Up Inquiries/Responses</v>
      </c>
    </row>
    <row r="196" spans="1:5" ht="96.75" customHeight="1" x14ac:dyDescent="0.3">
      <c r="A196" s="64" t="s">
        <v>573</v>
      </c>
      <c r="B196" s="64" t="str">
        <f>VLOOKUP($A196,Questions!$A$3:$X$333,2,0)&amp;""</f>
        <v>Do you have a formal incident response plan?</v>
      </c>
      <c r="C196" s="64" t="str">
        <f>VLOOKUP($A196,Questions!$A$3:$X$333,19,0)&amp;""</f>
        <v>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v>
      </c>
      <c r="D196" s="64" t="str">
        <f>VLOOKUP($A196,Questions!$A$3:$X$333,20,0)&amp;""</f>
        <v>If the solution provider does not have an incident response plan, direct them to the NIST Computer Security Incident Handling Guide &lt;https://csrc.nist.gov/publications/detail/sp/800-61/rev-2/final&gt;.</v>
      </c>
    </row>
    <row r="197" spans="1:5" ht="72.75" customHeight="1" x14ac:dyDescent="0.3">
      <c r="A197" s="64" t="s">
        <v>577</v>
      </c>
      <c r="B197" s="64" t="str">
        <f>VLOOKUP($A197,Questions!$A$3:$X$333,2,0)&amp;""</f>
        <v>Do you either have an internal incident response team or retain an external team?</v>
      </c>
      <c r="C197" s="64" t="str">
        <f>VLOOKUP($A197,Questions!$A$3:$X$333,19,0)&amp;""</f>
        <v>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97" s="64" t="str">
        <f>VLOOKUP($A197,Questions!$A$3:$X$333,20,0)&amp;""</f>
        <v>If the solution provider does not have an incident response plan, direct them to the NIST Computer Security Incident Handling Guide &lt;https://csrc.nist.gov/publications/detail/sp/800-61/rev-2/final&gt;.</v>
      </c>
    </row>
    <row r="198" spans="1:5" ht="74.25" customHeight="1" x14ac:dyDescent="0.3">
      <c r="A198" s="64" t="s">
        <v>581</v>
      </c>
      <c r="B198" s="64" t="str">
        <f>VLOOKUP($A198,Questions!$A$3:$X$333,2,0)&amp;""</f>
        <v>Do you have the capability to respond to incidents on a 24 x 7 x 365 basis?</v>
      </c>
      <c r="C198" s="64" t="str">
        <f>VLOOKUP($A198,Questions!$A$3:$X$333,19,0)&amp;""</f>
        <v>The incident team structure (internal vs. external), size, and capabilities of a solution provider have a significant impact on their ability to respond to and protect an institution's data. Use the knowledge of this response when evaluating other solution provider statements.</v>
      </c>
      <c r="D198" s="64" t="str">
        <f>VLOOKUP($A198,Questions!$A$3:$X$333,20,0)&amp;""</f>
        <v>If the solution provider does not have an incident response team, direct them to the NIST Computer Security Incident Handling Guide &lt;https://csrc.nist.gov/publications/detail/sp/800-61/rev-2/final&gt;.</v>
      </c>
    </row>
    <row r="199" spans="1:5" ht="81" customHeight="1" x14ac:dyDescent="0.25">
      <c r="A199" s="64" t="s">
        <v>585</v>
      </c>
      <c r="B199" s="64" t="str">
        <f>VLOOKUP($A199,Questions!$A$3:$X$333,2,0)&amp;""</f>
        <v>Do you carry cyber-risk insurance to protect against unforeseen service outages, data that is lost or stolen, and security incidents?</v>
      </c>
      <c r="C199" s="64" t="str">
        <f>VLOOKUP($A199,Questions!$A$3:$X$333,19,0)&amp;""</f>
        <v>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v>
      </c>
      <c r="D199" s="64" t="str">
        <f>VLOOKUP($A199,Questions!$A$3:$X$333,20,0)&amp;""</f>
        <v>If the solution provider does not have an incident response plan, point them to the NIST Computer Security Incident Handling Guide &lt;https://csrc.nist.gov/publications/detail/sp/800-61/rev-2/final&gt;.</v>
      </c>
      <c r="E199" s="258" t="s">
        <v>1536</v>
      </c>
    </row>
    <row r="200" spans="1:5" ht="17.5" x14ac:dyDescent="0.3">
      <c r="A200" s="70" t="str">
        <f>VLOOKUP(LEFT($A201,4),'Auto Responses'!$N$4:$O$38,2,0)&amp;""</f>
        <v xml:space="preserve"> Vulnerability Management</v>
      </c>
      <c r="B200" s="70"/>
      <c r="C200" s="63" t="str">
        <f>Questions!$S$2</f>
        <v>Reason for Question</v>
      </c>
      <c r="D200" s="63" t="str">
        <f>Questions!$T$2</f>
        <v>Follow-Up Inquiries/Responses</v>
      </c>
    </row>
    <row r="201" spans="1:5" ht="54" x14ac:dyDescent="0.3">
      <c r="A201" s="64" t="s">
        <v>588</v>
      </c>
      <c r="B201" s="64" t="str">
        <f>VLOOKUP($A201,Questions!$A$3:$X$333,2,0)&amp;""</f>
        <v>Are your systems and applications scanned with an authenticated user account for vulnerabilities (that are remediated) prior to new releases?*</v>
      </c>
      <c r="C201" s="64" t="str">
        <f>VLOOKUP($A201,Questions!$A$3:$X$333,19,0)&amp;""</f>
        <v>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201" s="64" t="str">
        <f>VLOOKUP($A201,Questions!$A$3:$X$333,20,0)&amp;""</f>
        <v>Ask if there are plans to implement these processes. Ask the solution provider to summarize their decision behind not scanning their applications for vulnerabilities prior to release.</v>
      </c>
    </row>
    <row r="202" spans="1:5" ht="52.5" customHeight="1" x14ac:dyDescent="0.3">
      <c r="A202" s="64" t="s">
        <v>592</v>
      </c>
      <c r="B202" s="64" t="str">
        <f>VLOOKUP($A202,Questions!$A$3:$X$333,2,0)&amp;""</f>
        <v>Will you provide results of application and system vulnerability scans to the institution?*</v>
      </c>
      <c r="C202" s="64" t="str">
        <f>VLOOKUP($A202,Questions!$A$3:$X$333,19,0)&amp;""</f>
        <v>If a solution provider is scanning its applications and/or systems, oftentimes an institution will want to review the report, if possible. Preferably, any finding on the reports will have a matching mitigation action.</v>
      </c>
      <c r="D202" s="64" t="str">
        <f>VLOOKUP($A202,Questions!$A$3:$X$333,20,0)&amp;""</f>
        <v>If a solution provider is hesitant to share the report, ask for a summarized version; some insight is better than none.</v>
      </c>
    </row>
    <row r="203" spans="1:5" ht="66" customHeight="1" x14ac:dyDescent="0.3">
      <c r="A203" s="64" t="s">
        <v>596</v>
      </c>
      <c r="B203" s="64" t="str">
        <f>VLOOKUP($A203,Questions!$A$3:$X$333,2,0)&amp;""</f>
        <v>Will you allow the institution to perform its own vulnerability testing and/or scanning of your systems and/or application, provided that testing is performed at a mutually agreed upon time and date?*</v>
      </c>
      <c r="C203" s="64" t="str">
        <f>VLOOKUP($A203,Questions!$A$3:$X$333,19,0)&amp;""</f>
        <v>Many higher education institutions are capable of performing vulnerability assessments and/or penetration testing on their solution providers' infrastructures. This question confirms the possibility of conducting these actions against the solution provider's infrastructure.</v>
      </c>
      <c r="D203" s="64" t="str">
        <f>VLOOKUP($A203,Questions!$A$3:$X$333,20,0)&amp;""</f>
        <v>Follow-up inquiries for vulnerability scanning and penetration testing will be institution/implementation specific.</v>
      </c>
    </row>
    <row r="204" spans="1:5" ht="98.25" customHeight="1" x14ac:dyDescent="0.3">
      <c r="A204" s="64" t="s">
        <v>599</v>
      </c>
      <c r="B204" s="64" t="str">
        <f>VLOOKUP($A204,Questions!$A$3:$X$333,2,0)&amp;""</f>
        <v>Have your systems and applications had a third-party security assessment completed in the last year?</v>
      </c>
      <c r="C204" s="64" t="str">
        <f>VLOOKUP($A204,Questions!$A$3:$X$333,19,0)&amp;""</f>
        <v>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4" s="64" t="str">
        <f>VLOOKUP($A204,Questions!$A$3:$X$333,20,0)&amp;""</f>
        <v>Ask if there has ever been a vulnerability scan. A short lapse in external assessment validity can be understood (if there is a planned assessment), but a significant time lapse or no scan whatsoever is cause for elevated levels of concern.</v>
      </c>
    </row>
    <row r="205" spans="1:5" ht="81" customHeight="1" x14ac:dyDescent="0.3">
      <c r="A205" s="64" t="s">
        <v>602</v>
      </c>
      <c r="B205" s="64" t="str">
        <f>VLOOKUP($A205,Questions!$A$3:$X$333,2,0)&amp;""</f>
        <v>Do you regularly scan for common web application security vulnerabilities (e.g., SQL injection, XSS, XSRF, etc.)?</v>
      </c>
      <c r="C205" s="64" t="str">
        <f>VLOOKUP($A205,Questions!$A$3:$X$333,19,0)&amp;""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v>
      </c>
      <c r="D205" s="64" t="str">
        <f>VLOOKUP($A205,Questions!$A$3:$X$333,20,0)&amp;""</f>
        <v>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v>
      </c>
    </row>
    <row r="206" spans="1:5" ht="89.25" customHeight="1" x14ac:dyDescent="0.25">
      <c r="A206" s="64" t="s">
        <v>604</v>
      </c>
      <c r="B206" s="64" t="str">
        <f>VLOOKUP($A206,Questions!$A$3:$X$333,2,0)&amp;""</f>
        <v>Are your systems and applications regularly scanned externally for vulnerabilities?</v>
      </c>
      <c r="C206" s="64" t="str">
        <f>VLOOKUP($A206,Questions!$A$3:$X$333,19,0)&amp;""</f>
        <v>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6" s="64" t="str">
        <f>VLOOKUP($A206,Questions!$A$3:$X$333,20,0)&amp;""</f>
        <v>If "no," inquire if there has ever been a vulnerability scan. A short lapse in external assessment validity can be understood (if there is a planned assessment), but a significant time lapse or no scan whatsoever is cause for elevated levels of concern.</v>
      </c>
      <c r="E206" s="258" t="s">
        <v>1536</v>
      </c>
    </row>
    <row r="207" spans="1:5" ht="17.5" x14ac:dyDescent="0.3">
      <c r="A207" s="70" t="str">
        <f>VLOOKUP(LEFT($A208,4),'Auto Responses'!$N$4:$O$38,2,0)&amp;""</f>
        <v xml:space="preserve">HIPAA Compliance </v>
      </c>
      <c r="B207" s="70"/>
      <c r="C207" s="63" t="str">
        <f>Questions!$S$2</f>
        <v>Reason for Question</v>
      </c>
      <c r="D207" s="63" t="str">
        <f>Questions!$T$2</f>
        <v>Follow-Up Inquiries/Responses</v>
      </c>
    </row>
    <row r="208" spans="1:5" ht="50.25" customHeight="1" x14ac:dyDescent="0.3">
      <c r="A208" s="64" t="s">
        <v>607</v>
      </c>
      <c r="B208" s="64" t="str">
        <f>VLOOKUP($A208,Questions!$A$3:$X$333,2,0)&amp;""</f>
        <v>Do your workforce members receive regular training related to the Health Insurance Portability and Accountability Act (HIPAA) Privacy and Security Rules and the HITECH Act?*</v>
      </c>
      <c r="C208" s="64" t="str">
        <f>VLOOKUP($A208,Questions!$A$3:$X$333,19,0)&amp;""</f>
        <v>HIPAA</v>
      </c>
      <c r="D208" s="64" t="str">
        <f>VLOOKUP($A208,Questions!$A$3:$X$333,20,0)&amp;""</f>
        <v>Refer to HIPAA documentation or your institution's Chief HIPAA Security Officer.</v>
      </c>
      <c r="E208" s="67"/>
    </row>
    <row r="209" spans="1:5" ht="27" customHeight="1" x14ac:dyDescent="0.3">
      <c r="A209" s="64" t="s">
        <v>612</v>
      </c>
      <c r="B209" s="64" t="str">
        <f>VLOOKUP($A209,Questions!$A$3:$X$333,2,0)&amp;""</f>
        <v>Have you identified areas of risk?*</v>
      </c>
      <c r="C209" s="64" t="str">
        <f>VLOOKUP($A209,Questions!$A$3:$X$333,19,0)&amp;""</f>
        <v>HIPAA</v>
      </c>
      <c r="D209" s="64" t="str">
        <f>VLOOKUP($A209,Questions!$A$3:$X$333,20,0)&amp;""</f>
        <v>Refer to HIPAA documentation or your institution's Chief HIPAA Security Officer.</v>
      </c>
      <c r="E209" s="67"/>
    </row>
    <row r="210" spans="1:5" ht="26.25" customHeight="1" x14ac:dyDescent="0.3">
      <c r="A210" s="64" t="s">
        <v>614</v>
      </c>
      <c r="B210" s="64" t="str">
        <f>VLOOKUP($A210,Questions!$A$3:$X$333,2,0)&amp;""</f>
        <v>Have the relevant policies/plans been tested?*</v>
      </c>
      <c r="C210" s="64" t="str">
        <f>VLOOKUP($A210,Questions!$A$3:$X$333,19,0)&amp;""</f>
        <v>HIPAA</v>
      </c>
      <c r="D210" s="64" t="str">
        <f>VLOOKUP($A210,Questions!$A$3:$X$333,20,0)&amp;""</f>
        <v>Refer to HIPAA documentation or your institution's Chief HIPAA Security Officer.</v>
      </c>
      <c r="E210" s="65"/>
    </row>
    <row r="211" spans="1:5" ht="50.25" customHeight="1" x14ac:dyDescent="0.3">
      <c r="A211" s="64" t="s">
        <v>616</v>
      </c>
      <c r="B211" s="64" t="str">
        <f>VLOOKUP($A211,Questions!$A$3:$X$333,2,0)&amp;""</f>
        <v>Have you entered into a Business Associate Agreements with all subcontractors who may have access to protected health information (PHI)?*</v>
      </c>
      <c r="C211" s="64" t="str">
        <f>VLOOKUP($A211,Questions!$A$3:$X$333,19,0)&amp;""</f>
        <v>HIPAA</v>
      </c>
      <c r="D211" s="64" t="str">
        <f>VLOOKUP($A211,Questions!$A$3:$X$333,20,0)&amp;""</f>
        <v>Refer to HIPAA documentation or your institution's Chief HIPAA Security Officer.</v>
      </c>
    </row>
    <row r="212" spans="1:5" ht="36" customHeight="1" x14ac:dyDescent="0.3">
      <c r="A212" s="64" t="s">
        <v>618</v>
      </c>
      <c r="B212" s="64" t="str">
        <f>VLOOKUP($A212,Questions!$A$3:$X$333,2,0)&amp;""</f>
        <v>Do you monitor or receive information regarding changes in HIPAA regulations?</v>
      </c>
      <c r="C212" s="64" t="str">
        <f>VLOOKUP($A212,Questions!$A$3:$X$333,19,0)&amp;""</f>
        <v>HIPAA</v>
      </c>
      <c r="D212" s="64" t="str">
        <f>VLOOKUP($A212,Questions!$A$3:$X$333,20,0)&amp;""</f>
        <v>Refer to HIPAA documentation or your institution's Chief HIPAA Security Officer.</v>
      </c>
      <c r="E212" s="67"/>
    </row>
    <row r="213" spans="1:5" ht="36.75" customHeight="1" x14ac:dyDescent="0.3">
      <c r="A213" s="64" t="s">
        <v>619</v>
      </c>
      <c r="B213" s="64" t="str">
        <f>VLOOKUP($A213,Questions!$A$3:$X$333,2,0)&amp;""</f>
        <v>Has your organization designated HIPAA Privacy and Security officers as required by the rules?</v>
      </c>
      <c r="C213" s="64" t="str">
        <f>VLOOKUP($A213,Questions!$A$3:$X$333,19,0)&amp;""</f>
        <v>HIPAA</v>
      </c>
      <c r="D213" s="64" t="str">
        <f>VLOOKUP($A213,Questions!$A$3:$X$333,20,0)&amp;""</f>
        <v>Refer to HIPAA documentation or your institution's Chief HIPAA Security Officer.</v>
      </c>
      <c r="E213" s="67"/>
    </row>
    <row r="214" spans="1:5" ht="42" customHeight="1" x14ac:dyDescent="0.3">
      <c r="A214" s="64" t="s">
        <v>620</v>
      </c>
      <c r="B214" s="64" t="str">
        <f>VLOOKUP($A214,Questions!$A$3:$X$333,2,0)&amp;""</f>
        <v>Do you comply with the requirements of the Health Information Technology for Economic and Clinical Health Act (HITECH)?</v>
      </c>
      <c r="C214" s="64" t="str">
        <f>VLOOKUP($A214,Questions!$A$3:$X$333,19,0)&amp;""</f>
        <v>HIPAA</v>
      </c>
      <c r="D214" s="64" t="str">
        <f>VLOOKUP($A214,Questions!$A$3:$X$333,20,0)&amp;""</f>
        <v>Refer to HIPAA documentation or your institution's Chief HIPAA Security Officer.</v>
      </c>
      <c r="E214" s="67"/>
    </row>
    <row r="215" spans="1:5" ht="40.5" customHeight="1" x14ac:dyDescent="0.3">
      <c r="A215" s="64" t="s">
        <v>622</v>
      </c>
      <c r="B215" s="64" t="str">
        <f>VLOOKUP($A215,Questions!$A$3:$X$333,2,0)&amp;""</f>
        <v>Have you conducted a risk analysis as required under the HIPAA Security Rule?</v>
      </c>
      <c r="C215" s="64" t="str">
        <f>VLOOKUP($A215,Questions!$A$3:$X$333,19,0)&amp;""</f>
        <v>HIPAA</v>
      </c>
      <c r="D215" s="64" t="str">
        <f>VLOOKUP($A215,Questions!$A$3:$X$333,20,0)&amp;""</f>
        <v>Refer to HIPAA documentation or your institution's Chief HIPAA Security Officer.</v>
      </c>
      <c r="E215" s="65"/>
    </row>
    <row r="216" spans="1:5" ht="25.5" customHeight="1" x14ac:dyDescent="0.3">
      <c r="A216" s="64" t="s">
        <v>624</v>
      </c>
      <c r="B216" s="64" t="str">
        <f>VLOOKUP($A216,Questions!$A$3:$X$333,2,0)&amp;""</f>
        <v>Have you taken actions to mitigate the identified risks?</v>
      </c>
      <c r="C216" s="64" t="str">
        <f>VLOOKUP($A216,Questions!$A$3:$X$333,19,0)&amp;""</f>
        <v>HIPAA</v>
      </c>
      <c r="D216" s="64" t="str">
        <f>VLOOKUP($A216,Questions!$A$3:$X$333,20,0)&amp;""</f>
        <v>Refer to HIPAA documentation or your institution's Chief HIPAA Security Officer.</v>
      </c>
    </row>
    <row r="217" spans="1:5" ht="39.75" customHeight="1" x14ac:dyDescent="0.3">
      <c r="A217" s="64" t="s">
        <v>626</v>
      </c>
      <c r="B217" s="64" t="str">
        <f>VLOOKUP($A217,Questions!$A$3:$X$333,2,0)&amp;""</f>
        <v>Does your application require user and system administrator password changes at a frequency no greater than 90 days?</v>
      </c>
      <c r="C217" s="64" t="str">
        <f>VLOOKUP($A217,Questions!$A$3:$X$333,19,0)&amp;""</f>
        <v>HIPAA</v>
      </c>
      <c r="D217" s="64" t="str">
        <f>VLOOKUP($A217,Questions!$A$3:$X$333,20,0)&amp;""</f>
        <v>Refer to HIPAA documentation or your institution's Chief HIPAA Security Officer.</v>
      </c>
    </row>
    <row r="218" spans="1:5" ht="42.75" customHeight="1" x14ac:dyDescent="0.3">
      <c r="A218" s="64" t="s">
        <v>628</v>
      </c>
      <c r="B218" s="64" t="str">
        <f>VLOOKUP($A218,Questions!$A$3:$X$333,2,0)&amp;""</f>
        <v>Does your application require users to set their own password after an administrator reset or on first use of the account?</v>
      </c>
      <c r="C218" s="64" t="str">
        <f>VLOOKUP($A218,Questions!$A$3:$X$333,19,0)&amp;""</f>
        <v>HIPAA</v>
      </c>
      <c r="D218" s="64" t="str">
        <f>VLOOKUP($A218,Questions!$A$3:$X$333,20,0)&amp;""</f>
        <v>Refer to HIPAA documentation or your institution's Chief HIPAA Security Officer.</v>
      </c>
    </row>
    <row r="219" spans="1:5" ht="39.75" customHeight="1" x14ac:dyDescent="0.3">
      <c r="A219" s="64" t="s">
        <v>630</v>
      </c>
      <c r="B219" s="64" t="str">
        <f>VLOOKUP($A219,Questions!$A$3:$X$333,2,0)&amp;""</f>
        <v>Does your application lock out an account after a number of failed login attempts?</v>
      </c>
      <c r="C219" s="64" t="str">
        <f>VLOOKUP($A219,Questions!$A$3:$X$333,19,0)&amp;""</f>
        <v>HIPAA</v>
      </c>
      <c r="D219" s="64" t="str">
        <f>VLOOKUP($A219,Questions!$A$3:$X$333,20,0)&amp;""</f>
        <v>Refer to HIPAA documentation or your institution's Chief HIPAA Security Officer.</v>
      </c>
    </row>
    <row r="220" spans="1:5" ht="39.75" customHeight="1" x14ac:dyDescent="0.3">
      <c r="A220" s="64" t="s">
        <v>632</v>
      </c>
      <c r="B220" s="64" t="str">
        <f>VLOOKUP($A220,Questions!$A$3:$X$333,2,0)&amp;""</f>
        <v>Does your application automatically lock or log-out an account after a period of inactivity?</v>
      </c>
      <c r="C220" s="64" t="str">
        <f>VLOOKUP($A220,Questions!$A$3:$X$333,19,0)&amp;""</f>
        <v>HIPAA</v>
      </c>
      <c r="D220" s="64" t="str">
        <f>VLOOKUP($A220,Questions!$A$3:$X$333,20,0)&amp;""</f>
        <v>Refer to HIPAA documentation or your institution's Chief HIPAA Security Officer.</v>
      </c>
    </row>
    <row r="221" spans="1:5" ht="40.5" customHeight="1" x14ac:dyDescent="0.3">
      <c r="A221" s="64" t="s">
        <v>634</v>
      </c>
      <c r="B221" s="64" t="str">
        <f>VLOOKUP($A221,Questions!$A$3:$X$333,2,0)&amp;""</f>
        <v>Are passwords visible in plain text, whether when stored or entered, including service level accounts (i.e., database accounts, etc.)?</v>
      </c>
      <c r="C221" s="64" t="str">
        <f>VLOOKUP($A221,Questions!$A$3:$X$333,19,0)&amp;""</f>
        <v>HIPAA</v>
      </c>
      <c r="D221" s="64" t="str">
        <f>VLOOKUP($A221,Questions!$A$3:$X$333,20,0)&amp;""</f>
        <v>Refer to HIPAA documentation or your institution's Chief HIPAA Security Officer.</v>
      </c>
      <c r="E221" s="58"/>
    </row>
    <row r="222" spans="1:5" ht="39" customHeight="1" x14ac:dyDescent="0.3">
      <c r="A222" s="64" t="s">
        <v>636</v>
      </c>
      <c r="B222" s="64" t="str">
        <f>VLOOKUP($A222,Questions!$A$3:$X$333,2,0)&amp;""</f>
        <v>If the application is institution-hosted, can all service level and administrative account passwords be changed by the institution?</v>
      </c>
      <c r="C222" s="64" t="str">
        <f>VLOOKUP($A222,Questions!$A$3:$X$333,19,0)&amp;""</f>
        <v>HIPAA</v>
      </c>
      <c r="D222" s="64" t="str">
        <f>VLOOKUP($A222,Questions!$A$3:$X$333,20,0)&amp;""</f>
        <v>Refer to HIPAA documentation or your institution's Chief HIPAA Security Officer.</v>
      </c>
    </row>
    <row r="223" spans="1:5" ht="23.25" customHeight="1" x14ac:dyDescent="0.3">
      <c r="A223" s="64" t="s">
        <v>638</v>
      </c>
      <c r="B223" s="64" t="str">
        <f>VLOOKUP($A223,Questions!$A$3:$X$333,2,0)&amp;""</f>
        <v>Does your application provide the ability to define user access levels?</v>
      </c>
      <c r="C223" s="64" t="str">
        <f>VLOOKUP($A223,Questions!$A$3:$X$333,19,0)&amp;""</f>
        <v>HIPAA</v>
      </c>
      <c r="D223" s="64" t="str">
        <f>VLOOKUP($A223,Questions!$A$3:$X$333,20,0)&amp;""</f>
        <v>Refer to HIPAA documentation or your institution's Chief HIPAA Security Officer.</v>
      </c>
    </row>
    <row r="224" spans="1:5" ht="39.75" customHeight="1" x14ac:dyDescent="0.3">
      <c r="A224" s="64" t="s">
        <v>640</v>
      </c>
      <c r="B224" s="64" t="str">
        <f>VLOOKUP($A224,Questions!$A$3:$X$333,2,0)&amp;""</f>
        <v>Does your application support varying levels of access to administrative tasks defined individually per user?</v>
      </c>
      <c r="C224" s="64" t="str">
        <f>VLOOKUP($A224,Questions!$A$3:$X$333,19,0)&amp;""</f>
        <v>HIPAA</v>
      </c>
      <c r="D224" s="64" t="str">
        <f>VLOOKUP($A224,Questions!$A$3:$X$333,20,0)&amp;""</f>
        <v>Refer to HIPAA documentation or your institution's Chief HIPAA Security Officer.</v>
      </c>
    </row>
    <row r="225" spans="1:5" ht="38.25" customHeight="1" x14ac:dyDescent="0.3">
      <c r="A225" s="64" t="s">
        <v>642</v>
      </c>
      <c r="B225" s="64" t="str">
        <f>VLOOKUP($A225,Questions!$A$3:$X$333,2,0)&amp;""</f>
        <v>Does your application support varying levels of access to records based on user ID?</v>
      </c>
      <c r="C225" s="64" t="str">
        <f>VLOOKUP($A225,Questions!$A$3:$X$333,19,0)&amp;""</f>
        <v>HIPAA</v>
      </c>
      <c r="D225" s="64" t="str">
        <f>VLOOKUP($A225,Questions!$A$3:$X$333,20,0)&amp;""</f>
        <v>Refer to HIPAA documentation or your institution's Chief HIPAA Security Officer.</v>
      </c>
    </row>
    <row r="226" spans="1:5" ht="36" customHeight="1" x14ac:dyDescent="0.3">
      <c r="A226" s="64" t="s">
        <v>643</v>
      </c>
      <c r="B226" s="64" t="str">
        <f>VLOOKUP($A226,Questions!$A$3:$X$333,2,0)&amp;""</f>
        <v>Is there a limit to the number of groups to which a user can be assigned?</v>
      </c>
      <c r="C226" s="64" t="str">
        <f>VLOOKUP($A226,Questions!$A$3:$X$333,19,0)&amp;""</f>
        <v>HIPAA</v>
      </c>
      <c r="D226" s="64" t="str">
        <f>VLOOKUP($A226,Questions!$A$3:$X$333,20,0)&amp;""</f>
        <v>Refer to HIPAA documentation or your institution's Chief HIPAA Security Officer.</v>
      </c>
    </row>
    <row r="227" spans="1:5" ht="40.5" x14ac:dyDescent="0.3">
      <c r="A227" s="64" t="s">
        <v>645</v>
      </c>
      <c r="B227" s="64" t="str">
        <f>VLOOKUP($A227,Questions!$A$3:$X$333,2,0)&amp;""</f>
        <v>Do accounts used for solution provider-supplied remote support abide by the same authentication policies and access logging as the rest of the system?</v>
      </c>
      <c r="C227" s="64" t="str">
        <f>VLOOKUP($A227,Questions!$A$3:$X$333,19,0)&amp;""</f>
        <v>HIPAA</v>
      </c>
      <c r="D227" s="64" t="str">
        <f>VLOOKUP($A227,Questions!$A$3:$X$333,20,0)&amp;""</f>
        <v>Refer to HIPAA documentation or your institution's Chief HIPAA Security Officer.</v>
      </c>
    </row>
    <row r="228" spans="1:5" ht="34.5" customHeight="1" x14ac:dyDescent="0.3">
      <c r="A228" s="64" t="s">
        <v>646</v>
      </c>
      <c r="B228" s="64" t="str">
        <f>VLOOKUP($A228,Questions!$A$3:$X$333,2,0)&amp;""</f>
        <v>Does the application log record access including specific user, date/time of access, and originating IP or device?</v>
      </c>
      <c r="C228" s="64" t="str">
        <f>VLOOKUP($A228,Questions!$A$3:$X$333,19,0)&amp;""</f>
        <v>HIPAA</v>
      </c>
      <c r="D228" s="64" t="str">
        <f>VLOOKUP($A228,Questions!$A$3:$X$333,20,0)&amp;""</f>
        <v>Refer to HIPAA documentation or your institution's Chief HIPAA Security Officer.</v>
      </c>
      <c r="E228" s="58"/>
    </row>
    <row r="229" spans="1:5" ht="52.5" customHeight="1" x14ac:dyDescent="0.3">
      <c r="A229" s="64" t="s">
        <v>647</v>
      </c>
      <c r="B229" s="64" t="str">
        <f>VLOOKUP($A229,Questions!$A$3:$X$333,2,0)&amp;""</f>
        <v>Does the application log administrative activity, such as user account access changes and password changes, including specific user, date/time of changes, and originating IP or device?</v>
      </c>
      <c r="C229" s="64" t="str">
        <f>VLOOKUP($A229,Questions!$A$3:$X$333,19,0)&amp;""</f>
        <v>HIPAA</v>
      </c>
      <c r="D229" s="64" t="str">
        <f>VLOOKUP($A229,Questions!$A$3:$X$333,20,0)&amp;""</f>
        <v>Refer to HIPAA documentation or your institution's Chief HIPAA Security Officer.</v>
      </c>
    </row>
    <row r="230" spans="1:5" ht="21" customHeight="1" x14ac:dyDescent="0.3">
      <c r="A230" s="64" t="s">
        <v>649</v>
      </c>
      <c r="B230" s="64" t="str">
        <f>VLOOKUP($A230,Questions!$A$3:$X$333,2,0)&amp;""</f>
        <v>Do you retain logs for at least as long as required by HIPAA regulations?</v>
      </c>
      <c r="C230" s="64" t="str">
        <f>VLOOKUP($A230,Questions!$A$3:$X$333,19,0)&amp;""</f>
        <v>HIPAA</v>
      </c>
      <c r="D230" s="64" t="str">
        <f>VLOOKUP($A230,Questions!$A$3:$X$333,20,0)&amp;""</f>
        <v>Refer to HIPAA documentation or your institution's Chief HIPAA Security Officer.</v>
      </c>
    </row>
    <row r="231" spans="1:5" ht="23.25" customHeight="1" x14ac:dyDescent="0.3">
      <c r="A231" s="64" t="s">
        <v>651</v>
      </c>
      <c r="B231" s="64" t="str">
        <f>VLOOKUP($A231,Questions!$A$3:$X$333,2,0)&amp;""</f>
        <v>Can the application logs be archived?</v>
      </c>
      <c r="C231" s="64" t="str">
        <f>VLOOKUP($A231,Questions!$A$3:$X$333,19,0)&amp;""</f>
        <v>HIPAA</v>
      </c>
      <c r="D231" s="64" t="str">
        <f>VLOOKUP($A231,Questions!$A$3:$X$333,20,0)&amp;""</f>
        <v>Refer to HIPAA documentation or your institution's Chief HIPAA Security Officer.</v>
      </c>
    </row>
    <row r="232" spans="1:5" ht="24.75" customHeight="1" x14ac:dyDescent="0.3">
      <c r="A232" s="64" t="s">
        <v>653</v>
      </c>
      <c r="B232" s="64" t="str">
        <f>VLOOKUP($A232,Questions!$A$3:$X$333,2,0)&amp;""</f>
        <v>Can the application logs be saved externally?</v>
      </c>
      <c r="C232" s="64" t="str">
        <f>VLOOKUP($A232,Questions!$A$3:$X$333,19,0)&amp;""</f>
        <v>HIPAA</v>
      </c>
      <c r="D232" s="64" t="str">
        <f>VLOOKUP($A232,Questions!$A$3:$X$333,20,0)&amp;""</f>
        <v>Refer to HIPAA documentation or your institution's Chief HIPAA Security Officer.</v>
      </c>
    </row>
    <row r="233" spans="1:5" ht="39" customHeight="1" x14ac:dyDescent="0.3">
      <c r="A233" s="64" t="s">
        <v>655</v>
      </c>
      <c r="B233" s="64" t="str">
        <f>VLOOKUP($A233,Questions!$A$3:$X$333,2,0)&amp;""</f>
        <v>Do you have a disaster recovery plan and emergency mode operation plan?</v>
      </c>
      <c r="C233" s="64" t="str">
        <f>VLOOKUP($A233,Questions!$A$3:$X$333,19,0)&amp;""</f>
        <v>HIPAA</v>
      </c>
      <c r="D233" s="64" t="str">
        <f>VLOOKUP($A233,Questions!$A$3:$X$333,20,0)&amp;""</f>
        <v>Refer to HIPAA documentation or your institution's Chief HIPAA Security Officer.</v>
      </c>
    </row>
    <row r="234" spans="1:5" ht="23.25" customHeight="1" x14ac:dyDescent="0.3">
      <c r="A234" s="64" t="s">
        <v>656</v>
      </c>
      <c r="B234" s="64" t="str">
        <f>VLOOKUP($A234,Questions!$A$3:$X$333,2,0)&amp;""</f>
        <v>Can you provide a HIPAA compliance attestation document?</v>
      </c>
      <c r="C234" s="64" t="str">
        <f>VLOOKUP($A234,Questions!$A$3:$X$333,19,0)&amp;""</f>
        <v>HIPAA</v>
      </c>
      <c r="D234" s="64" t="str">
        <f>VLOOKUP($A234,Questions!$A$3:$X$333,20,0)&amp;""</f>
        <v>Refer to HIPAA documentation or your institution's Chief HIPAA Security Officer.</v>
      </c>
    </row>
    <row r="235" spans="1:5" ht="22.5" customHeight="1" x14ac:dyDescent="0.3">
      <c r="A235" s="64" t="s">
        <v>658</v>
      </c>
      <c r="B235" s="64" t="str">
        <f>VLOOKUP($A235,Questions!$A$3:$X$333,2,0)&amp;""</f>
        <v>Are you willing to enter into a Business Associate Agreement (BAA)?</v>
      </c>
      <c r="C235" s="64" t="str">
        <f>VLOOKUP($A235,Questions!$A$3:$X$333,19,0)&amp;""</f>
        <v>HIPAA</v>
      </c>
      <c r="D235" s="64" t="str">
        <f>VLOOKUP($A235,Questions!$A$3:$X$333,20,0)&amp;""</f>
        <v>Refer to HIPAA documentation or your institution's Chief HIPAA Security Officer.</v>
      </c>
    </row>
    <row r="236" spans="1:5" ht="33" customHeight="1" x14ac:dyDescent="0.25">
      <c r="A236" s="64" t="s">
        <v>660</v>
      </c>
      <c r="B236" s="64" t="str">
        <f>VLOOKUP($A236,Questions!$A$3:$X$333,2,0)&amp;""</f>
        <v>Do your data backup and retention policies and practices meet HIPAA requirements?</v>
      </c>
      <c r="C236" s="64" t="str">
        <f>VLOOKUP($A236,Questions!$A$3:$X$333,19,0)&amp;""</f>
        <v>HIPAA</v>
      </c>
      <c r="D236" s="64" t="str">
        <f>VLOOKUP($A236,Questions!$A$3:$X$333,20,0)&amp;""</f>
        <v>Refer to HIPAA documentation or your institution's Chief HIPAA Security Officer.</v>
      </c>
      <c r="E236" s="258" t="s">
        <v>1536</v>
      </c>
    </row>
    <row r="237" spans="1:5" ht="17.5" x14ac:dyDescent="0.3">
      <c r="A237" s="70" t="str">
        <f>VLOOKUP(LEFT($A238,4),'Auto Responses'!$N$4:$O$38,2,0)&amp;""</f>
        <v xml:space="preserve"> Payment Card Industry Data Security Standard (PCI DSS)</v>
      </c>
      <c r="B237" s="70"/>
      <c r="C237" s="63" t="str">
        <f>Questions!$S$2</f>
        <v>Reason for Question</v>
      </c>
      <c r="D237" s="63" t="str">
        <f>Questions!$T$2</f>
        <v>Follow-Up Inquiries/Responses</v>
      </c>
    </row>
    <row r="238" spans="1:5" ht="36" customHeight="1" x14ac:dyDescent="0.3">
      <c r="A238" s="64" t="s">
        <v>661</v>
      </c>
      <c r="B238" s="64" t="str">
        <f>VLOOKUP($A238,Questions!$A$3:$X$333,2,0)&amp;""</f>
        <v>Do you have a current, executed within the past year, Attestation of Compliance (AoC) or Report on Compliance (RoC)?*</v>
      </c>
      <c r="C238" s="64" t="str">
        <f>VLOOKUP($A238,Questions!$A$3:$X$333,19,0)&amp;""</f>
        <v>PCI DSS</v>
      </c>
      <c r="D238" s="64" t="str">
        <f>VLOOKUP($A238,Questions!$A$3:$X$333,20,0)&amp;""</f>
        <v>Refer to PCI DSS documentation or your institution's treasurer's office.</v>
      </c>
    </row>
    <row r="239" spans="1:5" ht="36.75" customHeight="1" x14ac:dyDescent="0.3">
      <c r="A239" s="64" t="s">
        <v>665</v>
      </c>
      <c r="B239" s="64" t="str">
        <f>VLOOKUP($A239,Questions!$A$3:$X$333,2,0)&amp;""</f>
        <v>Is the application listed as an approved Payment Application Data Security Standard (PA-DSS) application?*</v>
      </c>
      <c r="C239" s="64" t="str">
        <f>VLOOKUP($A239,Questions!$A$3:$X$333,19,0)&amp;""</f>
        <v>PCI DSS</v>
      </c>
      <c r="D239" s="64" t="str">
        <f>VLOOKUP($A239,Questions!$A$3:$X$333,20,0)&amp;""</f>
        <v>Refer to PCI DSS documentation or your institution's treasurer's office.</v>
      </c>
    </row>
    <row r="240" spans="1:5" ht="40.5" customHeight="1" x14ac:dyDescent="0.3">
      <c r="A240" s="64" t="s">
        <v>667</v>
      </c>
      <c r="B240" s="64" t="str">
        <f>VLOOKUP($A240,Questions!$A$3:$X$333,2,0)&amp;""</f>
        <v>Does the system or solutions use a third party to collect, store, process, or transmit cardholder (payment/credit/debt card) data?*</v>
      </c>
      <c r="C240" s="64" t="str">
        <f>VLOOKUP($A240,Questions!$A$3:$X$333,19,0)&amp;""</f>
        <v>PCI DSS</v>
      </c>
      <c r="D240" s="64" t="str">
        <f>VLOOKUP($A240,Questions!$A$3:$X$333,20,0)&amp;""</f>
        <v>Refer to PCI DSS documentation or your institution's treasurer's office.</v>
      </c>
    </row>
    <row r="241" spans="1:5" ht="39" customHeight="1" x14ac:dyDescent="0.3">
      <c r="A241" s="64" t="s">
        <v>668</v>
      </c>
      <c r="B241" s="64" t="str">
        <f>VLOOKUP($A241,Questions!$A$3:$X$333,2,0)&amp;""</f>
        <v>Do your systems or solutions store, process, or transmit cardholder (payment/credit/debt card) data?</v>
      </c>
      <c r="C241" s="64" t="str">
        <f>VLOOKUP($A241,Questions!$A$3:$X$333,19,0)&amp;""</f>
        <v>PCI DSS</v>
      </c>
      <c r="D241" s="64" t="str">
        <f>VLOOKUP($A241,Questions!$A$3:$X$333,20,0)&amp;""</f>
        <v>Refer to PCI DSS documentation or your institution's treasurer's office.</v>
      </c>
    </row>
    <row r="242" spans="1:5" ht="38.25" customHeight="1" x14ac:dyDescent="0.3">
      <c r="A242" s="64" t="s">
        <v>670</v>
      </c>
      <c r="B242" s="64" t="str">
        <f>VLOOKUP($A242,Questions!$A$3:$X$333,2,0)&amp;""</f>
        <v>Are you compliant with the Payment Card Industry Data Security Standard (PCI DSS)?</v>
      </c>
      <c r="C242" s="64" t="str">
        <f>VLOOKUP($A242,Questions!$A$3:$X$333,19,0)&amp;""</f>
        <v>PCI DSS</v>
      </c>
      <c r="D242" s="64" t="str">
        <f>VLOOKUP($A242,Questions!$A$3:$X$333,20,0)&amp;""</f>
        <v>Refer to PCI DSS documentation or your institution's treasurer's office.</v>
      </c>
    </row>
    <row r="243" spans="1:5" ht="28.5" customHeight="1" x14ac:dyDescent="0.3">
      <c r="A243" s="64" t="s">
        <v>671</v>
      </c>
      <c r="B243" s="64" t="str">
        <f>VLOOKUP($A243,Questions!$A$3:$X$333,2,0)&amp;""</f>
        <v>Are you classified as a service provider?</v>
      </c>
      <c r="C243" s="64" t="str">
        <f>VLOOKUP($A243,Questions!$A$3:$X$333,19,0)&amp;""</f>
        <v>PCI DSS</v>
      </c>
      <c r="D243" s="64" t="str">
        <f>VLOOKUP($A243,Questions!$A$3:$X$333,20,0)&amp;""</f>
        <v>Refer to PCI DSS documentation or your institution's treasurer's office.</v>
      </c>
    </row>
    <row r="244" spans="1:5" ht="29.25" customHeight="1" x14ac:dyDescent="0.3">
      <c r="A244" s="64" t="s">
        <v>673</v>
      </c>
      <c r="B244" s="64" t="str">
        <f>VLOOKUP($A244,Questions!$A$3:$X$333,2,0)&amp;""</f>
        <v>Are you on the list of Visa approved service providers?</v>
      </c>
      <c r="C244" s="64" t="str">
        <f>VLOOKUP($A244,Questions!$A$3:$X$333,19,0)&amp;""</f>
        <v>PCI DSS</v>
      </c>
      <c r="D244" s="64" t="str">
        <f>VLOOKUP($A244,Questions!$A$3:$X$333,20,0)&amp;""</f>
        <v>Refer to PCI DSS documentation or your institution's treasurer's office.</v>
      </c>
    </row>
    <row r="245" spans="1:5" ht="26.25" customHeight="1" x14ac:dyDescent="0.3">
      <c r="A245" s="64" t="s">
        <v>675</v>
      </c>
      <c r="B245" s="64" t="str">
        <f>VLOOKUP($A245,Questions!$A$3:$X$333,2,0)&amp;""</f>
        <v>Are you classified as a merchant? If so, what level (1, 2, 3, 4)?</v>
      </c>
      <c r="C245" s="64" t="str">
        <f>VLOOKUP($A245,Questions!$A$3:$X$333,19,0)&amp;""</f>
        <v>PCI DSS</v>
      </c>
      <c r="D245" s="64" t="str">
        <f>VLOOKUP($A245,Questions!$A$3:$X$333,20,0)&amp;""</f>
        <v>Refer to PCI DSS documentation or your institution's treasurer's office.</v>
      </c>
    </row>
    <row r="246" spans="1:5" ht="36.75" customHeight="1" x14ac:dyDescent="0.3">
      <c r="A246" s="64" t="s">
        <v>677</v>
      </c>
      <c r="B246" s="64" t="str">
        <f>VLOOKUP($A246,Questions!$A$3:$X$333,2,0)&amp;""</f>
        <v>Describe the architecture employed by the system to verify and authorize credit card transactions.</v>
      </c>
      <c r="C246" s="64" t="str">
        <f>VLOOKUP($A246,Questions!$A$3:$X$333,19,0)&amp;""</f>
        <v>PCI DSS</v>
      </c>
      <c r="D246" s="64" t="str">
        <f>VLOOKUP($A246,Questions!$A$3:$X$333,20,0)&amp;""</f>
        <v>Refer to PCI DSS documentation or your institution's treasurer's office.</v>
      </c>
    </row>
    <row r="247" spans="1:5" ht="22.5" customHeight="1" x14ac:dyDescent="0.3">
      <c r="A247" s="64" t="s">
        <v>678</v>
      </c>
      <c r="B247" s="64" t="str">
        <f>VLOOKUP($A247,Questions!$A$3:$X$333,2,0)&amp;""</f>
        <v>What payment processors/gateways does the system support?</v>
      </c>
      <c r="C247" s="64" t="str">
        <f>VLOOKUP($A247,Questions!$A$3:$X$333,19,0)&amp;""</f>
        <v>PCI DSS</v>
      </c>
      <c r="D247" s="64" t="str">
        <f>VLOOKUP($A247,Questions!$A$3:$X$333,20,0)&amp;""</f>
        <v>Refer to PCI DSS documentation or your institution's treasurer's office.</v>
      </c>
    </row>
    <row r="248" spans="1:5" ht="24.75" customHeight="1" x14ac:dyDescent="0.3">
      <c r="A248" s="64" t="s">
        <v>679</v>
      </c>
      <c r="B248" s="64" t="str">
        <f>VLOOKUP($A248,Questions!$A$3:$X$333,2,0)&amp;""</f>
        <v>Can the application be installed in a PCI DSS–compliant manner?</v>
      </c>
      <c r="C248" s="64" t="str">
        <f>VLOOKUP($A248,Questions!$A$3:$X$333,19,0)&amp;""</f>
        <v>PCI DSS</v>
      </c>
      <c r="D248" s="64" t="str">
        <f>VLOOKUP($A248,Questions!$A$3:$X$333,20,0)&amp;""</f>
        <v>Refer to PCI DSS documentation or your institution's treasurer's office.</v>
      </c>
    </row>
    <row r="249" spans="1:5" ht="51" customHeight="1" x14ac:dyDescent="0.25">
      <c r="A249" s="64" t="s">
        <v>680</v>
      </c>
      <c r="B249" s="64" t="str">
        <f>VLOOKUP($A249,Questions!$A$3:$X$333,2,0)&amp;""</f>
        <v>Include documentation describing the system's abilities to comply with the PCI DSS and any features or capabilities of the system that must be added or changed in order to operate in compliance with the standards.</v>
      </c>
      <c r="C249" s="64" t="str">
        <f>VLOOKUP($A249,Questions!$A$3:$X$333,19,0)&amp;""</f>
        <v>PCI DSS</v>
      </c>
      <c r="D249" s="64" t="str">
        <f>VLOOKUP($A249,Questions!$A$3:$X$333,20,0)&amp;""</f>
        <v>Refer to PCI DSS documentation or your institution's treasurer's office.</v>
      </c>
      <c r="E249" s="258" t="s">
        <v>1536</v>
      </c>
    </row>
    <row r="250" spans="1:5" ht="17.5" x14ac:dyDescent="0.3">
      <c r="A250" s="70" t="str">
        <f>VLOOKUP(LEFT($A251,4),'Auto Responses'!$N$4:$O$38,2,0)&amp;""</f>
        <v xml:space="preserve"> On-Premises Data Solutions</v>
      </c>
      <c r="B250" s="70"/>
      <c r="C250" s="63" t="str">
        <f>Questions!$S$2</f>
        <v>Reason for Question</v>
      </c>
      <c r="D250" s="63" t="str">
        <f>Questions!$T$2</f>
        <v>Follow-Up Inquiries/Responses</v>
      </c>
    </row>
    <row r="251" spans="1:5" ht="68.25" customHeight="1" x14ac:dyDescent="0.3">
      <c r="A251" s="64" t="s">
        <v>681</v>
      </c>
      <c r="B251" s="64" t="str">
        <f>VLOOKUP($A251,Questions!$A$3:$X$333,2,0)&amp;""</f>
        <v>Do you support role-based access control (RBAC) for system administrators?</v>
      </c>
      <c r="C251" s="64" t="str">
        <f>VLOOKUP($A251,Questions!$A$3:$X$333,19,0)&amp;""</f>
        <v>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v>
      </c>
      <c r="D251" s="64" t="str">
        <f>VLOOKUP($A251,Questions!$A$3:$X$333,20,0)&amp;""</f>
        <v>Ask the solution provider to summarize the best practices for securing their system(s) administratively without the use of RBAC. Make sure to understand the administrative requirements/overhead introduced in the solution provider's environment.</v>
      </c>
    </row>
    <row r="252" spans="1:5" ht="71.25" customHeight="1" x14ac:dyDescent="0.3">
      <c r="A252" s="64" t="s">
        <v>683</v>
      </c>
      <c r="B252" s="64" t="str">
        <f>VLOOKUP($A252,Questions!$A$3:$X$333,2,0)&amp;""</f>
        <v>Can your employees access customer systems remotely?</v>
      </c>
      <c r="C252" s="64" t="str">
        <f>VLOOKUP($A252,Questions!$A$3:$X$333,19,0)&amp;""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2" s="64" t="str">
        <f>VLOOKUP($A252,Questions!$A$3:$X$333,20,0)&amp;""</f>
        <v>Ask the solution provider to summarize the reasoning behind this business process and request additional documentation that outlines the security controls implemented to safeguard institutional data.</v>
      </c>
    </row>
    <row r="253" spans="1:5" ht="68.25" customHeight="1" x14ac:dyDescent="0.3">
      <c r="A253" s="64" t="s">
        <v>687</v>
      </c>
      <c r="B253" s="64" t="str">
        <f>VLOOKUP($A253,Questions!$A$3:$X$333,2,0)&amp;""</f>
        <v>Can you provide overall system and/or application architecture diagrams including a full description of the data communications architecture for all components of the system?</v>
      </c>
      <c r="C253" s="64" t="str">
        <f>VLOOKUP($A253,Questions!$A$3:$X$333,19,0)&amp;""</f>
        <v>Many systems can be used a variety of ways. We want these implementation type diagrams so that we can understand the "real" use of the solution.</v>
      </c>
      <c r="D253" s="64" t="str">
        <f>VLOOKUP($A253,Questions!$A$3:$X$333,20,0)&amp;""</f>
        <v>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v>
      </c>
    </row>
    <row r="254" spans="1:5" ht="76.5" customHeight="1" x14ac:dyDescent="0.3">
      <c r="A254" s="64" t="s">
        <v>691</v>
      </c>
      <c r="B254" s="64" t="str">
        <f>VLOOKUP($A254,Questions!$A$3:$X$333,2,0)&amp;""</f>
        <v>Do you require remote management of the system?</v>
      </c>
      <c r="C254" s="64" t="str">
        <f>VLOOKUP($A254,Questions!$A$3:$X$333,19,0)&amp;""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4" s="64" t="str">
        <f>VLOOKUP($A254,Questions!$A$3:$X$333,20,0)&amp;""</f>
        <v>Ask the solution provider to summarize the reasoning behind this business process and request additional documentation that outlines the security controls implemented to safeguard institutional data.</v>
      </c>
    </row>
    <row r="255" spans="1:5" ht="81" customHeight="1" x14ac:dyDescent="0.3">
      <c r="A255" s="64" t="s">
        <v>694</v>
      </c>
      <c r="B255" s="64" t="str">
        <f>VLOOKUP($A255,Questions!$A$3:$X$333,2,0)&amp;""</f>
        <v>If you answered "yes" to OPEM-04, are your remote actions and changes logged or otherwise visible to the campus?</v>
      </c>
      <c r="C255" s="64" t="str">
        <f>VLOOKUP($A255,Questions!$A$3:$X$333,19,0)&amp;""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v>
      </c>
      <c r="D255" s="64" t="str">
        <f>VLOOKUP($A255,Questions!$A$3:$X$333,20,0)&amp;""</f>
        <v>If a weak response is given to this answer, it is appropriate to ask directed answers to get specific information. Ensure that questions are targeted to ensure responses will come from the appropriate party within the solution provider.</v>
      </c>
    </row>
    <row r="256" spans="1:5" ht="38.25" customHeight="1" x14ac:dyDescent="0.3">
      <c r="A256" s="64" t="s">
        <v>698</v>
      </c>
      <c r="B256" s="64" t="str">
        <f>VLOOKUP($A256,Questions!$A$3:$X$333,2,0)&amp;""</f>
        <v>If you maintain remote access to the system, will you handle data in a FERPA-compliant manner?</v>
      </c>
      <c r="C256" s="64" t="str">
        <f>VLOOKUP($A256,Questions!$A$3:$X$333,19,0)&amp;""</f>
        <v>This is standard documentation, relevant to institution implementations requiring FERPA compliance.</v>
      </c>
      <c r="D256" s="64" t="str">
        <f>VLOOKUP($A256,Questions!$A$3:$X$333,20,0)&amp;""</f>
        <v>Follow-up inquiries for FERPA compliance details will be institution/implementation specific.</v>
      </c>
    </row>
    <row r="257" spans="1:5" ht="61.5" customHeight="1" x14ac:dyDescent="0.3">
      <c r="A257" s="64" t="s">
        <v>700</v>
      </c>
      <c r="B257" s="64" t="str">
        <f>VLOOKUP($A257,Questions!$A$3:$X$333,2,0)&amp;""</f>
        <v>Do you support campus status monitoring through SNMPv3 or other means?</v>
      </c>
      <c r="C257" s="64" t="str">
        <f>VLOOKUP($A257,Questions!$A$3:$X$333,19,0)&amp;""</f>
        <v>Standard documentation question. With an on-premise device, the possibility to tie-in with existing monitoring/management systems is beneficial. The solution provider's response should be clear and concise.</v>
      </c>
      <c r="D257" s="64" t="str">
        <f>VLOOKUP($A257,Questions!$A$3:$X$333,20,0)&amp;""</f>
        <v>Follow-up inquiries for monitoring via SNMPv3 will be institution/implementation specific.</v>
      </c>
    </row>
    <row r="258" spans="1:5" ht="54" customHeight="1" x14ac:dyDescent="0.3">
      <c r="A258" s="64" t="s">
        <v>703</v>
      </c>
      <c r="B258" s="64" t="str">
        <f>VLOOKUP($A258,Questions!$A$3:$X$333,2,0)&amp;""</f>
        <v>Describe or provide a reference to any other safeguards used to monitor for malicious activity.</v>
      </c>
      <c r="C258" s="64" t="str">
        <f>VLOOKUP($A258,Questions!$A$3:$X$333,19,0)&amp;""</f>
        <v>This question is primarily focused on system(s) integrity and confidentiality. The solution provider's response should clearly state the system(s) capabilities to properly monitor for (and alert for) malicious activity.</v>
      </c>
      <c r="D258" s="64" t="str">
        <f>VLOOKUP($A258,Questions!$A$3:$X$333,20,0)&amp;""</f>
        <v>Follow-up inquiries for system monitoring will be institution/implementation specific.</v>
      </c>
      <c r="E258" s="58"/>
    </row>
    <row r="259" spans="1:5" ht="40.5" x14ac:dyDescent="0.3">
      <c r="A259" s="64" t="s">
        <v>704</v>
      </c>
      <c r="B259" s="64" t="str">
        <f>VLOOKUP($A259,Questions!$A$3:$X$333,2,0)&amp;""</f>
        <v>Describe how long your organization has conducted business in this area.</v>
      </c>
      <c r="C259" s="64" t="str">
        <f>VLOOKUP($A259,Questions!$A$3:$X$333,19,0)&amp;""</f>
        <v>We want to establish longevity of a solution and whether or not a solution provider is new to the higher education space.</v>
      </c>
      <c r="D259" s="64" t="str">
        <f>VLOOKUP($A259,Questions!$A$3:$X$333,20,0)&amp;""</f>
        <v>Normally a solution provider will state their overall longevity but not talk about the software/service/product under evaluation. Follow-ups includes specific questions about the origins of the software/service/product and references will be requested.</v>
      </c>
      <c r="E259" s="58"/>
    </row>
    <row r="260" spans="1:5" ht="60.75" customHeight="1" x14ac:dyDescent="0.25">
      <c r="A260" s="64" t="s">
        <v>709</v>
      </c>
      <c r="B260" s="64" t="str">
        <f>VLOOKUP($A260,Questions!$A$3:$X$333,2,0)&amp;""</f>
        <v>Do you have existing higher education customers?</v>
      </c>
      <c r="C260" s="64" t="str">
        <f>VLOOKUP($A260,Questions!$A$3:$X$333,19,0)&amp;""</f>
        <v>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v>
      </c>
      <c r="D260" s="64" t="str">
        <f>VLOOKUP($A260,Questions!$A$3:$X$333,20,0)&amp;""</f>
        <v>A simple "yes" without any references or supporting information should be questioned. Question the size of institutions that are using the solution and the scope of their implementations.</v>
      </c>
      <c r="E260" s="258" t="s">
        <v>1536</v>
      </c>
    </row>
    <row r="261" spans="1:5" ht="17.5" x14ac:dyDescent="0.3">
      <c r="A261" s="70" t="str">
        <f>VLOOKUP(LEFT($A262,4),'Auto Responses'!$N$4:$O$38,2,0)&amp;""</f>
        <v xml:space="preserve"> General Privacy</v>
      </c>
      <c r="B261" s="70"/>
      <c r="C261" s="63" t="str">
        <f>Questions!$S$2</f>
        <v>Reason for Question</v>
      </c>
      <c r="D261" s="63" t="str">
        <f>Questions!$T$2</f>
        <v>Follow-Up Inquiries/Responses</v>
      </c>
    </row>
    <row r="262" spans="1:5" ht="21" customHeight="1" x14ac:dyDescent="0.3">
      <c r="A262" s="64" t="s">
        <v>913</v>
      </c>
      <c r="B262" s="64" t="str">
        <f>VLOOKUP($A262,Questions!$A$3:$X$333,2,0)&amp;""</f>
        <v>Does your solution process FERPA-related data?</v>
      </c>
      <c r="C262" s="64" t="str">
        <f>VLOOKUP($A262,Questions!$A$3:$X$333,19,0)&amp;""</f>
        <v/>
      </c>
      <c r="D262" s="64" t="str">
        <f>VLOOKUP($A262,Questions!$A$3:$X$333,20,0)&amp;""</f>
        <v/>
      </c>
    </row>
    <row r="263" spans="1:5" ht="25.5" customHeight="1" x14ac:dyDescent="0.3">
      <c r="A263" s="64" t="s">
        <v>914</v>
      </c>
      <c r="B263" s="64" t="str">
        <f>VLOOKUP($A263,Questions!$A$3:$X$333,2,0)&amp;""</f>
        <v>Does your solution process GDPR-related or PIPL-related data?</v>
      </c>
      <c r="C263" s="64" t="str">
        <f>VLOOKUP($A263,Questions!$A$3:$X$333,19,0)&amp;""</f>
        <v>To be added in a later version</v>
      </c>
      <c r="D263" s="64" t="str">
        <f>VLOOKUP($A263,Questions!$A$3:$X$333,20,0)&amp;""</f>
        <v>To be added in a later version</v>
      </c>
    </row>
    <row r="264" spans="1:5" ht="34.5" customHeight="1" x14ac:dyDescent="0.3">
      <c r="A264" s="64" t="s">
        <v>915</v>
      </c>
      <c r="B264" s="64" t="str">
        <f>VLOOKUP($A264,Questions!$A$3:$X$333,2,0)&amp;""</f>
        <v>Does your solution process personal data regulated by state law(s) (e.g., CCPA)?</v>
      </c>
      <c r="C264" s="64" t="str">
        <f>VLOOKUP($A264,Questions!$A$3:$X$333,19,0)&amp;""</f>
        <v/>
      </c>
      <c r="D264" s="64" t="str">
        <f>VLOOKUP($A264,Questions!$A$3:$X$333,20,0)&amp;""</f>
        <v/>
      </c>
    </row>
    <row r="265" spans="1:5" ht="33" customHeight="1" x14ac:dyDescent="0.3">
      <c r="A265" s="64" t="s">
        <v>916</v>
      </c>
      <c r="B265" s="64" t="str">
        <f>VLOOKUP($A265,Questions!$A$3:$X$333,2,0)&amp;""</f>
        <v>Does your solution process user-provided data that may contain regulated information?</v>
      </c>
      <c r="C265" s="64" t="str">
        <f>VLOOKUP($A265,Questions!$A$3:$X$333,19,0)&amp;""</f>
        <v/>
      </c>
      <c r="D265" s="64" t="str">
        <f>VLOOKUP($A265,Questions!$A$3:$X$333,20,0)&amp;""</f>
        <v/>
      </c>
    </row>
    <row r="266" spans="1:5" ht="24.75" customHeight="1" x14ac:dyDescent="0.25">
      <c r="A266" s="64" t="s">
        <v>917</v>
      </c>
      <c r="B266" s="64" t="str">
        <f>VLOOKUP($A266,Questions!$A$3:$X$333,2,0)&amp;""</f>
        <v>Web Link to Product/Service Privacy Notice</v>
      </c>
      <c r="C266" s="64" t="str">
        <f>VLOOKUP($A266,Questions!$A$3:$X$333,19,0)&amp;""</f>
        <v/>
      </c>
      <c r="D266" s="64" t="str">
        <f>VLOOKUP($A266,Questions!$A$3:$X$333,20,0)&amp;""</f>
        <v/>
      </c>
      <c r="E266" s="258" t="s">
        <v>1536</v>
      </c>
    </row>
    <row r="267" spans="1:5" ht="17.5" x14ac:dyDescent="0.3">
      <c r="A267" s="70" t="str">
        <f>VLOOKUP(LEFT($A268,4),'Auto Responses'!$N$4:$O$38,2,0)&amp;""</f>
        <v xml:space="preserve"> Privacy-Specific Company Details</v>
      </c>
      <c r="B267" s="70"/>
      <c r="C267" s="63" t="str">
        <f>Questions!$S$2</f>
        <v>Reason for Question</v>
      </c>
      <c r="D267" s="63" t="str">
        <f>Questions!$T$2</f>
        <v>Follow-Up Inquiries/Responses</v>
      </c>
    </row>
    <row r="268" spans="1:5" ht="60" customHeight="1" x14ac:dyDescent="0.3">
      <c r="A268" s="64" t="s">
        <v>714</v>
      </c>
      <c r="B268" s="64" t="str">
        <f>VLOOKUP($A268,Questions!$A$3:$X$333,2,0)&amp;""</f>
        <v>Have you had a personal data breach in the past three years that involved reporting to a governmental agency, notice to individuals (including voluntary notice), or notice to another organization or institution?*</v>
      </c>
      <c r="C268" s="64" t="str">
        <f>VLOOKUP($A268,Questions!$A$3:$X$333,19,0)&amp;""</f>
        <v>To be added in a later version</v>
      </c>
      <c r="D268" s="64" t="str">
        <f>VLOOKUP($A268,Questions!$A$3:$X$333,20,0)&amp;""</f>
        <v>To be added in a later version</v>
      </c>
    </row>
    <row r="269" spans="1:5" ht="36.75" customHeight="1" x14ac:dyDescent="0.3">
      <c r="A269" s="64" t="s">
        <v>717</v>
      </c>
      <c r="B269" s="64" t="str">
        <f>VLOOKUP($A269,Questions!$A$3:$X$333,2,0)&amp;""</f>
        <v>Use this area to share information about your privacy practices that will assist those who are assessing your company data privacy program.*</v>
      </c>
      <c r="C269" s="64" t="str">
        <f>VLOOKUP($A269,Questions!$A$3:$X$333,19,0)&amp;""</f>
        <v/>
      </c>
      <c r="D269" s="64" t="str">
        <f>VLOOKUP($A269,Questions!$A$3:$X$333,20,0)&amp;""</f>
        <v/>
      </c>
    </row>
    <row r="270" spans="1:5" ht="35.25" customHeight="1" x14ac:dyDescent="0.3">
      <c r="A270" s="64" t="s">
        <v>719</v>
      </c>
      <c r="B270" s="64" t="str">
        <f>VLOOKUP($A270,Questions!$A$3:$X$333,2,0)&amp;""</f>
        <v>Have you had any data privacy policy or law violations in the past 36 months?</v>
      </c>
      <c r="C270" s="64" t="str">
        <f>VLOOKUP($A270,Questions!$A$3:$X$333,19,0)&amp;""</f>
        <v/>
      </c>
      <c r="D270" s="64" t="str">
        <f>VLOOKUP($A270,Questions!$A$3:$X$333,20,0)&amp;""</f>
        <v/>
      </c>
    </row>
    <row r="271" spans="1:5" ht="21.75" customHeight="1" x14ac:dyDescent="0.25">
      <c r="A271" s="64" t="s">
        <v>722</v>
      </c>
      <c r="B271" s="64" t="str">
        <f>VLOOKUP($A271,Questions!$A$3:$X$333,2,0)&amp;""</f>
        <v>Do you have a dedicated data privacy staff or office?</v>
      </c>
      <c r="C271" s="64" t="str">
        <f>VLOOKUP($A271,Questions!$A$3:$X$333,19,0)&amp;""</f>
        <v/>
      </c>
      <c r="D271" s="64" t="str">
        <f>VLOOKUP($A271,Questions!$A$3:$X$333,20,0)&amp;""</f>
        <v/>
      </c>
      <c r="E271" s="258" t="s">
        <v>1536</v>
      </c>
    </row>
    <row r="272" spans="1:5" ht="17.5" x14ac:dyDescent="0.3">
      <c r="A272" s="70" t="str">
        <f>VLOOKUP(LEFT($A273,4),'Auto Responses'!$N$4:$O$38,2,0)&amp;""</f>
        <v xml:space="preserve"> Privacy-Specific Documentation</v>
      </c>
      <c r="B272" s="70"/>
      <c r="C272" s="63" t="str">
        <f>Questions!$S$2</f>
        <v>Reason for Question</v>
      </c>
      <c r="D272" s="63" t="str">
        <f>Questions!$T$2</f>
        <v>Follow-Up Inquiries/Responses</v>
      </c>
    </row>
    <row r="273" spans="1:5" ht="36" customHeight="1" x14ac:dyDescent="0.3">
      <c r="A273" s="64" t="s">
        <v>723</v>
      </c>
      <c r="B273" s="64" t="str">
        <f>VLOOKUP($A273,Questions!$A$3:$X$333,2,0)&amp;""</f>
        <v>If you have completed a SOC 2 audit, does it include the Privacy Trust Service Principle?</v>
      </c>
      <c r="C273" s="64" t="str">
        <f>VLOOKUP($A273,Questions!$A$3:$X$333,19,0)&amp;""</f>
        <v>To be added in a later version</v>
      </c>
      <c r="D273" s="64" t="str">
        <f>VLOOKUP($A273,Questions!$A$3:$X$333,20,0)&amp;""</f>
        <v>To be added in a later version</v>
      </c>
    </row>
    <row r="274" spans="1:5" ht="38.25" customHeight="1" x14ac:dyDescent="0.3">
      <c r="A274" s="64" t="s">
        <v>724</v>
      </c>
      <c r="B274" s="64" t="str">
        <f>VLOOKUP($A274,Questions!$A$3:$X$333,2,0)&amp;""</f>
        <v>Do you conform with a specific industry-standard privacy framework (e.g., NIST Privacy Framework, GDPR, ISO 27701)?</v>
      </c>
      <c r="C274" s="64" t="str">
        <f>VLOOKUP($A274,Questions!$A$3:$X$333,19,0)&amp;""</f>
        <v/>
      </c>
      <c r="D274" s="64" t="str">
        <f>VLOOKUP($A274,Questions!$A$3:$X$333,20,0)&amp;""</f>
        <v/>
      </c>
    </row>
    <row r="275" spans="1:5" ht="39" customHeight="1" x14ac:dyDescent="0.25">
      <c r="A275" s="64" t="s">
        <v>726</v>
      </c>
      <c r="B275" s="64" t="str">
        <f>VLOOKUP($A275,Questions!$A$3:$X$333,2,0)&amp;""</f>
        <v>Does your employee onboarding and offboarding policy include training of employees on information security and data privacy?</v>
      </c>
      <c r="C275" s="64" t="str">
        <f>VLOOKUP($A275,Questions!$A$3:$X$333,19,0)&amp;""</f>
        <v/>
      </c>
      <c r="D275" s="64" t="str">
        <f>VLOOKUP($A275,Questions!$A$3:$X$333,20,0)&amp;""</f>
        <v/>
      </c>
      <c r="E275" s="258" t="s">
        <v>1536</v>
      </c>
    </row>
    <row r="276" spans="1:5" ht="17.5" x14ac:dyDescent="0.3">
      <c r="A276" s="70" t="str">
        <f>VLOOKUP(LEFT($A277,4),'Auto Responses'!$N$4:$O$38,2,0)&amp;""</f>
        <v xml:space="preserve"> Privacy of Third Parties</v>
      </c>
      <c r="B276" s="70"/>
      <c r="C276" s="63" t="str">
        <f>Questions!$S$2</f>
        <v>Reason for Question</v>
      </c>
      <c r="D276" s="63" t="str">
        <f>Questions!$T$2</f>
        <v>Follow-Up Inquiries/Responses</v>
      </c>
    </row>
    <row r="277" spans="1:5" ht="50.25" customHeight="1" x14ac:dyDescent="0.3">
      <c r="A277" s="64" t="s">
        <v>728</v>
      </c>
      <c r="B277" s="64" t="str">
        <f>VLOOKUP($A277,Questions!$A$3:$X$333,2,0)&amp;""</f>
        <v>Do you have contractual agreements with third parties that require them to maintain standards and to comply with all regulatory requirements?*</v>
      </c>
      <c r="C277" s="64" t="str">
        <f>VLOOKUP($A277,Questions!$A$3:$X$333,19,0)&amp;""</f>
        <v>To be added in a later version</v>
      </c>
      <c r="D277" s="64" t="str">
        <f>VLOOKUP($A277,Questions!$A$3:$X$333,20,0)&amp;""</f>
        <v>To be added in a later version</v>
      </c>
    </row>
    <row r="278" spans="1:5" ht="60.75" customHeight="1" x14ac:dyDescent="0.25">
      <c r="A278" s="64" t="s">
        <v>732</v>
      </c>
      <c r="B278" s="64" t="str">
        <f>VLOOKUP($A278,Questions!$A$3:$X$333,2,0)&amp;""</f>
        <v xml:space="preserve">Do you perform privacy impact assesments of third parties that collect, process, or have access to personal data to ensure they meet industry and regulatory standards and to mitigate harmful, unethical, or discriminatory impacts on data subjects? </v>
      </c>
      <c r="C278" s="64" t="str">
        <f>VLOOKUP($A278,Questions!$A$3:$X$333,19,0)&amp;""</f>
        <v/>
      </c>
      <c r="D278" s="64" t="str">
        <f>VLOOKUP($A278,Questions!$A$3:$X$333,20,0)&amp;""</f>
        <v/>
      </c>
      <c r="E278" s="258" t="s">
        <v>1536</v>
      </c>
    </row>
    <row r="279" spans="1:5" ht="17.5" x14ac:dyDescent="0.3">
      <c r="A279" s="70" t="str">
        <f>VLOOKUP(LEFT($A280,4),'Auto Responses'!$N$4:$O$38,2,0)&amp;""</f>
        <v xml:space="preserve"> Privacy Change Management</v>
      </c>
      <c r="B279" s="70"/>
      <c r="C279" s="63" t="str">
        <f>Questions!$S$2</f>
        <v>Reason for Question</v>
      </c>
      <c r="D279" s="63" t="str">
        <f>Questions!$T$2</f>
        <v>Follow-Up Inquiries/Responses</v>
      </c>
    </row>
    <row r="280" spans="1:5" ht="39" customHeight="1" x14ac:dyDescent="0.3">
      <c r="A280" s="64" t="s">
        <v>733</v>
      </c>
      <c r="B280" s="64" t="str">
        <f>VLOOKUP($A280,Questions!$A$3:$X$333,2,0)&amp;""</f>
        <v>Does your change management process include privacy review and approval?</v>
      </c>
      <c r="C280" s="64" t="str">
        <f>VLOOKUP($A280,Questions!$A$3:$X$333,19,0)&amp;""</f>
        <v>To be added in a later version</v>
      </c>
      <c r="D280" s="64" t="str">
        <f>VLOOKUP($A280,Questions!$A$3:$X$333,20,0)&amp;""</f>
        <v>To be added in a later version</v>
      </c>
    </row>
    <row r="281" spans="1:5" ht="38.25" customHeight="1" x14ac:dyDescent="0.25">
      <c r="A281" s="64" t="s">
        <v>736</v>
      </c>
      <c r="B281" s="64" t="str">
        <f>VLOOKUP($A281,Questions!$A$3:$X$333,2,0)&amp;""</f>
        <v>Do you have policy and procedure, currently implemented, guiding how privacy risks are mitigated until they can be resolved?</v>
      </c>
      <c r="C281" s="64" t="str">
        <f>VLOOKUP($A281,Questions!$A$3:$X$333,19,0)&amp;""</f>
        <v/>
      </c>
      <c r="D281" s="64" t="str">
        <f>VLOOKUP($A281,Questions!$A$3:$X$333,20,0)&amp;""</f>
        <v/>
      </c>
      <c r="E281" s="258" t="s">
        <v>1536</v>
      </c>
    </row>
    <row r="282" spans="1:5" ht="17.5" x14ac:dyDescent="0.3">
      <c r="A282" s="70" t="str">
        <f>VLOOKUP(LEFT($A283,4),'Auto Responses'!$N$4:$O$38,2,0)&amp;""</f>
        <v xml:space="preserve"> Privacy of Sensitive Data</v>
      </c>
      <c r="B282" s="70"/>
      <c r="C282" s="63" t="str">
        <f>Questions!$S$2</f>
        <v>Reason for Question</v>
      </c>
      <c r="D282" s="63" t="str">
        <f>Questions!$T$2</f>
        <v>Follow-Up Inquiries/Responses</v>
      </c>
    </row>
    <row r="283" spans="1:5" ht="40.5" customHeight="1" x14ac:dyDescent="0.3">
      <c r="A283" s="64" t="s">
        <v>738</v>
      </c>
      <c r="B283" s="64" t="str">
        <f>VLOOKUP($A283,Questions!$A$3:$X$333,2,0)&amp;""</f>
        <v>Do you collect, process, or store demographic information?*</v>
      </c>
      <c r="C283" s="64" t="str">
        <f>VLOOKUP($A283,Questions!$A$3:$X$333,19,0)&amp;""</f>
        <v>To be added in a later version</v>
      </c>
      <c r="D283" s="64" t="str">
        <f>VLOOKUP($A283,Questions!$A$3:$X$333,20,0)&amp;""</f>
        <v>To be added in a later version</v>
      </c>
    </row>
    <row r="284" spans="1:5" ht="39" customHeight="1" x14ac:dyDescent="0.3">
      <c r="A284" s="64" t="s">
        <v>740</v>
      </c>
      <c r="B284" s="64" t="str">
        <f>VLOOKUP($A284,Questions!$A$3:$X$333,2,0)&amp;""</f>
        <v>Do you capture or create genetic, biometric, or behaviometric information (e.g.,  facial recognition or fingerprints)?*</v>
      </c>
      <c r="C284" s="64" t="str">
        <f>VLOOKUP($A284,Questions!$A$3:$X$333,19,0)&amp;""</f>
        <v/>
      </c>
      <c r="D284" s="64" t="str">
        <f>VLOOKUP($A284,Questions!$A$3:$X$333,20,0)&amp;""</f>
        <v/>
      </c>
    </row>
    <row r="285" spans="1:5" ht="50.25" customHeight="1" x14ac:dyDescent="0.3">
      <c r="A285" s="64" t="s">
        <v>743</v>
      </c>
      <c r="B285" s="64" t="str">
        <f>VLOOKUP($A285,Questions!$A$3:$X$333,2,0)&amp;""</f>
        <v>Do you combine institutional data (including "de-identified," "anonymized," or otherwise masked data) with personal data from any other sources?*</v>
      </c>
      <c r="C285" s="64" t="str">
        <f>VLOOKUP($A285,Questions!$A$3:$X$333,19,0)&amp;""</f>
        <v/>
      </c>
      <c r="D285" s="64" t="str">
        <f>VLOOKUP($A285,Questions!$A$3:$X$333,20,0)&amp;""</f>
        <v/>
      </c>
    </row>
    <row r="286" spans="1:5" ht="36" customHeight="1" x14ac:dyDescent="0.3">
      <c r="A286" s="64" t="s">
        <v>745</v>
      </c>
      <c r="B286" s="64" t="str">
        <f>VLOOKUP($A286,Questions!$A$3:$X$333,2,0)&amp;""</f>
        <v>Is institutional data coming into or going out of the United States at any point during collection, processing, storage, or archiving?</v>
      </c>
      <c r="C286" s="64" t="str">
        <f>VLOOKUP($A286,Questions!$A$3:$X$333,19,0)&amp;""</f>
        <v/>
      </c>
      <c r="D286" s="64" t="str">
        <f>VLOOKUP($A286,Questions!$A$3:$X$333,20,0)&amp;""</f>
        <v/>
      </c>
    </row>
    <row r="287" spans="1:5" s="64" customFormat="1" ht="18.75" customHeight="1" x14ac:dyDescent="0.3">
      <c r="A287" s="64" t="s">
        <v>747</v>
      </c>
      <c r="B287" s="64" t="str">
        <f>VLOOKUP($A287,Questions!$A$3:$X$333,2,0)&amp;""</f>
        <v>Do you capture device information (e.g., IP address, MAC address)?</v>
      </c>
      <c r="C287" s="64" t="str">
        <f>VLOOKUP($A287,Questions!$A$3:$X$333,19,0)&amp;""</f>
        <v/>
      </c>
      <c r="D287" s="64" t="str">
        <f>VLOOKUP($A287,Questions!$A$3:$X$333,20,0)&amp;""</f>
        <v/>
      </c>
    </row>
    <row r="288" spans="1:5" s="64" customFormat="1" ht="34.5" customHeight="1" x14ac:dyDescent="0.3">
      <c r="A288" s="64" t="s">
        <v>748</v>
      </c>
      <c r="B288" s="64" t="str">
        <f>VLOOKUP($A288,Questions!$A$3:$X$333,2,0)&amp;""</f>
        <v>Does any part of this service/project involve a web/app tracking component (e.g., use of web-tracking pixels, cookies)?</v>
      </c>
      <c r="C288" s="64" t="str">
        <f>VLOOKUP($A288,Questions!$A$3:$X$333,19,0)&amp;""</f>
        <v/>
      </c>
      <c r="D288" s="64" t="str">
        <f>VLOOKUP($A288,Questions!$A$3:$X$333,20,0)&amp;""</f>
        <v/>
      </c>
    </row>
    <row r="289" spans="1:5" ht="36.75" customHeight="1" x14ac:dyDescent="0.3">
      <c r="A289" s="64" t="s">
        <v>749</v>
      </c>
      <c r="B289" s="64" t="str">
        <f>VLOOKUP($A289,Questions!$A$3:$X$333,2,0)&amp;""</f>
        <v>Does your staff (or a third party) have access to institutional data (e.g., financial, PHI, or other sensitive information) through any means?</v>
      </c>
      <c r="C289" s="64" t="str">
        <f>VLOOKUP($A289,Questions!$A$3:$X$333,19,0)&amp;""</f>
        <v/>
      </c>
      <c r="D289" s="64" t="str">
        <f>VLOOKUP($A289,Questions!$A$3:$X$333,20,0)&amp;""</f>
        <v/>
      </c>
    </row>
    <row r="290" spans="1:5" ht="36.75" customHeight="1" x14ac:dyDescent="0.25">
      <c r="A290" s="64" t="s">
        <v>751</v>
      </c>
      <c r="B290" s="64" t="str">
        <f>VLOOKUP($A290,Questions!$A$3:$X$333,2,0)&amp;""</f>
        <v>Will you handle personal data in a manner compliant with all relevant laws, regulations, and applicable institution policies?</v>
      </c>
      <c r="C290" s="64" t="str">
        <f>VLOOKUP($A290,Questions!$A$3:$X$333,19,0)&amp;""</f>
        <v/>
      </c>
      <c r="D290" s="64" t="str">
        <f>VLOOKUP($A290,Questions!$A$3:$X$333,20,0)&amp;""</f>
        <v/>
      </c>
      <c r="E290" s="258" t="s">
        <v>1536</v>
      </c>
    </row>
    <row r="291" spans="1:5" ht="17.5" x14ac:dyDescent="0.3">
      <c r="A291" s="70" t="str">
        <f>VLOOKUP(LEFT($A292,4),'Auto Responses'!$N$4:$O$38,2,0)&amp;""</f>
        <v xml:space="preserve"> Privacy Policies and Procedures</v>
      </c>
      <c r="B291" s="70"/>
      <c r="C291" s="63" t="str">
        <f>Questions!$S$2</f>
        <v>Reason for Question</v>
      </c>
      <c r="D291" s="63" t="str">
        <f>Questions!$T$2</f>
        <v>Follow-Up Inquiries/Responses</v>
      </c>
    </row>
    <row r="292" spans="1:5" ht="19.5" customHeight="1" x14ac:dyDescent="0.3">
      <c r="A292" s="64" t="s">
        <v>752</v>
      </c>
      <c r="B292" s="64" t="str">
        <f>VLOOKUP($A292,Questions!$A$3:$X$333,2,0)&amp;""</f>
        <v>Do you have a documented privacy management process?</v>
      </c>
      <c r="C292" s="64" t="str">
        <f>VLOOKUP($A292,Questions!$A$3:$X$333,19,0)&amp;""</f>
        <v>To be added in a later version</v>
      </c>
      <c r="D292" s="64" t="str">
        <f>VLOOKUP($A292,Questions!$A$3:$X$333,20,0)&amp;""</f>
        <v>To be added in a later version</v>
      </c>
    </row>
    <row r="293" spans="1:5" ht="36.75" customHeight="1" x14ac:dyDescent="0.3">
      <c r="A293" s="64" t="s">
        <v>756</v>
      </c>
      <c r="B293" s="64" t="str">
        <f>VLOOKUP($A293,Questions!$A$3:$X$333,2,0)&amp;""</f>
        <v>Are privacy principles designed into the product lifecycle (i.e., privacy-by-design)?</v>
      </c>
      <c r="C293" s="64" t="str">
        <f>VLOOKUP($A293,Questions!$A$3:$X$333,19,0)&amp;""</f>
        <v/>
      </c>
      <c r="D293" s="64" t="str">
        <f>VLOOKUP($A293,Questions!$A$3:$X$333,20,0)&amp;""</f>
        <v/>
      </c>
    </row>
    <row r="294" spans="1:5" ht="21" customHeight="1" x14ac:dyDescent="0.3">
      <c r="A294" s="64" t="s">
        <v>759</v>
      </c>
      <c r="B294" s="64" t="str">
        <f>VLOOKUP($A294,Questions!$A$3:$X$333,2,0)&amp;""</f>
        <v>Will you comply with applicable breach notification laws?</v>
      </c>
      <c r="C294" s="64" t="str">
        <f>VLOOKUP($A294,Questions!$A$3:$X$333,19,0)&amp;""</f>
        <v/>
      </c>
      <c r="D294" s="64" t="str">
        <f>VLOOKUP($A294,Questions!$A$3:$X$333,20,0)&amp;""</f>
        <v/>
      </c>
    </row>
    <row r="295" spans="1:5" ht="34.5" customHeight="1" x14ac:dyDescent="0.3">
      <c r="A295" s="64" t="s">
        <v>762</v>
      </c>
      <c r="B295" s="64" t="str">
        <f>VLOOKUP($A295,Questions!$A$3:$X$333,2,0)&amp;""</f>
        <v>Will you comply with the institution's policies regarding user privacy and data protection?</v>
      </c>
      <c r="C295" s="64" t="str">
        <f>VLOOKUP($A295,Questions!$A$3:$X$333,19,0)&amp;""</f>
        <v/>
      </c>
      <c r="D295" s="64" t="str">
        <f>VLOOKUP($A295,Questions!$A$3:$X$333,20,0)&amp;""</f>
        <v/>
      </c>
    </row>
    <row r="296" spans="1:5" ht="40.5" customHeight="1" x14ac:dyDescent="0.3">
      <c r="A296" s="64" t="s">
        <v>764</v>
      </c>
      <c r="B296" s="64" t="str">
        <f>VLOOKUP($A296,Questions!$A$3:$X$333,2,0)&amp;""</f>
        <v>Is your company subject to the laws and regulations of the institution's geographic region?</v>
      </c>
      <c r="C296" s="64" t="str">
        <f>VLOOKUP($A296,Questions!$A$3:$X$333,19,0)&amp;""</f>
        <v/>
      </c>
      <c r="D296" s="64" t="str">
        <f>VLOOKUP($A296,Questions!$A$3:$X$333,20,0)&amp;""</f>
        <v/>
      </c>
    </row>
    <row r="297" spans="1:5" ht="21.75" customHeight="1" x14ac:dyDescent="0.3">
      <c r="A297" s="64" t="s">
        <v>766</v>
      </c>
      <c r="B297" s="64" t="str">
        <f>VLOOKUP($A297,Questions!$A$3:$X$333,2,0)&amp;""</f>
        <v>Do you have a privacy awareness/training program?*</v>
      </c>
      <c r="C297" s="64" t="str">
        <f>VLOOKUP($A297,Questions!$A$3:$X$333,19,0)&amp;""</f>
        <v/>
      </c>
      <c r="D297" s="64" t="str">
        <f>VLOOKUP($A297,Questions!$A$3:$X$333,20,0)&amp;""</f>
        <v/>
      </c>
    </row>
    <row r="298" spans="1:5" ht="27.75" customHeight="1" x14ac:dyDescent="0.3">
      <c r="A298" s="64" t="s">
        <v>768</v>
      </c>
      <c r="B298" s="64" t="str">
        <f>VLOOKUP($A298,Questions!$A$3:$X$333,2,0)&amp;""</f>
        <v>Is privacy awareness training mandatory for all employees?</v>
      </c>
      <c r="C298" s="64" t="str">
        <f>VLOOKUP($A298,Questions!$A$3:$X$333,19,0)&amp;""</f>
        <v/>
      </c>
      <c r="D298" s="64" t="str">
        <f>VLOOKUP($A298,Questions!$A$3:$X$333,20,0)&amp;""</f>
        <v/>
      </c>
    </row>
    <row r="299" spans="1:5" ht="36" customHeight="1" x14ac:dyDescent="0.3">
      <c r="A299" s="64" t="s">
        <v>772</v>
      </c>
      <c r="B299" s="64" t="str">
        <f>VLOOKUP($A299,Questions!$A$3:$X$333,2,0)&amp;""</f>
        <v>Is AI privacy and ethics awareness/training required for all employees who work with AI?</v>
      </c>
      <c r="C299" s="64" t="str">
        <f>VLOOKUP($A299,Questions!$A$3:$X$333,19,0)&amp;""</f>
        <v/>
      </c>
      <c r="D299" s="64" t="str">
        <f>VLOOKUP($A299,Questions!$A$3:$X$333,20,0)&amp;""</f>
        <v/>
      </c>
    </row>
    <row r="300" spans="1:5" ht="32.25" customHeight="1" x14ac:dyDescent="0.3">
      <c r="A300" s="64" t="s">
        <v>775</v>
      </c>
      <c r="B300" s="64" t="str">
        <f>VLOOKUP($A300,Questions!$A$3:$X$333,2,0)&amp;""</f>
        <v>Do you have any decision-making processes that are completely automated (i.e., there is no human involvement)?</v>
      </c>
      <c r="C300" s="64" t="str">
        <f>VLOOKUP($A300,Questions!$A$3:$X$333,19,0)&amp;""</f>
        <v/>
      </c>
      <c r="D300" s="64" t="str">
        <f>VLOOKUP($A300,Questions!$A$3:$X$333,20,0)&amp;""</f>
        <v/>
      </c>
    </row>
    <row r="301" spans="1:5" ht="48" customHeight="1" x14ac:dyDescent="0.3">
      <c r="A301" s="64" t="s">
        <v>777</v>
      </c>
      <c r="B301" s="64" t="str">
        <f>VLOOKUP($A301,Questions!$A$3:$X$333,2,0)&amp;""</f>
        <v>Do you have a documented process for managing automated processing, including validations, monitoring, and data subject requests?</v>
      </c>
      <c r="C301" s="64" t="str">
        <f>VLOOKUP($A301,Questions!$A$3:$X$333,19,0)&amp;""</f>
        <v/>
      </c>
      <c r="D301" s="64" t="str">
        <f>VLOOKUP($A301,Questions!$A$3:$X$333,20,0)&amp;""</f>
        <v/>
      </c>
    </row>
    <row r="302" spans="1:5" ht="39" customHeight="1" x14ac:dyDescent="0.3">
      <c r="A302" s="64" t="s">
        <v>780</v>
      </c>
      <c r="B302" s="64" t="str">
        <f>VLOOKUP($A302,Questions!$A$3:$X$333,2,0)&amp;""</f>
        <v>Do you have a documented policy for sharing information with law enforcement?</v>
      </c>
      <c r="C302" s="64" t="str">
        <f>VLOOKUP($A302,Questions!$A$3:$X$333,19,0)&amp;""</f>
        <v/>
      </c>
      <c r="D302" s="64" t="str">
        <f>VLOOKUP($A302,Questions!$A$3:$X$333,20,0)&amp;""</f>
        <v/>
      </c>
    </row>
    <row r="303" spans="1:5" ht="33" customHeight="1" x14ac:dyDescent="0.3">
      <c r="A303" s="64" t="s">
        <v>783</v>
      </c>
      <c r="B303" s="64" t="str">
        <f>VLOOKUP($A303,Questions!$A$3:$X$333,2,0)&amp;""</f>
        <v>Do you share any institutional data with law enforcement without a valid warrant?*</v>
      </c>
      <c r="C303" s="64" t="str">
        <f>VLOOKUP($A303,Questions!$A$3:$X$333,19,0)&amp;""</f>
        <v/>
      </c>
      <c r="D303" s="64" t="str">
        <f>VLOOKUP($A303,Questions!$A$3:$X$333,20,0)&amp;""</f>
        <v/>
      </c>
    </row>
    <row r="304" spans="1:5" ht="24.75" customHeight="1" x14ac:dyDescent="0.25">
      <c r="A304" s="64" t="s">
        <v>785</v>
      </c>
      <c r="B304" s="64" t="str">
        <f>VLOOKUP($A304,Questions!$A$3:$X$333,2,0)&amp;""</f>
        <v>Does your incident response team include a privacy analyst/officer?</v>
      </c>
      <c r="C304" s="64" t="str">
        <f>VLOOKUP($A304,Questions!$A$3:$X$333,19,0)&amp;""</f>
        <v/>
      </c>
      <c r="D304" s="64" t="str">
        <f>VLOOKUP($A304,Questions!$A$3:$X$333,20,0)&amp;""</f>
        <v/>
      </c>
      <c r="E304" s="258" t="s">
        <v>1536</v>
      </c>
    </row>
    <row r="305" spans="1:5" ht="17.5" x14ac:dyDescent="0.3">
      <c r="A305" s="70" t="str">
        <f>VLOOKUP(LEFT($A306,4),'Auto Responses'!$N$4:$O$38,2,0)&amp;""</f>
        <v xml:space="preserve"> International Privacy</v>
      </c>
      <c r="B305" s="70"/>
      <c r="C305" s="63" t="str">
        <f>Questions!$S$2</f>
        <v>Reason for Question</v>
      </c>
      <c r="D305" s="63" t="str">
        <f>Questions!$T$2</f>
        <v>Follow-Up Inquiries/Responses</v>
      </c>
    </row>
    <row r="306" spans="1:5" ht="31.5" customHeight="1" x14ac:dyDescent="0.3">
      <c r="A306" s="64" t="s">
        <v>787</v>
      </c>
      <c r="B306" s="64" t="str">
        <f>VLOOKUP($A306,Questions!$A$3:$X$333,2,0)&amp;""</f>
        <v>Will data be collected from or processed in or stored in the European Economic Area (EEA)?</v>
      </c>
      <c r="C306" s="64" t="str">
        <f>VLOOKUP($A306,Questions!$A$3:$X$333,19,0)&amp;""</f>
        <v>To be added in a later version</v>
      </c>
      <c r="D306" s="64" t="str">
        <f>VLOOKUP($A306,Questions!$A$3:$X$333,20,0)&amp;""</f>
        <v>To be added in a later version</v>
      </c>
    </row>
    <row r="307" spans="1:5" ht="24.75" customHeight="1" x14ac:dyDescent="0.3">
      <c r="A307" s="64" t="s">
        <v>790</v>
      </c>
      <c r="B307" s="64" t="str">
        <f>VLOOKUP($A307,Questions!$A$3:$X$333,2,0)&amp;""</f>
        <v>Do you have a data protection officer (DPO)?</v>
      </c>
      <c r="C307" s="64" t="str">
        <f>VLOOKUP($A307,Questions!$A$3:$X$333,19,0)&amp;""</f>
        <v/>
      </c>
      <c r="D307" s="64" t="str">
        <f>VLOOKUP($A307,Questions!$A$3:$X$333,20,0)&amp;""</f>
        <v/>
      </c>
    </row>
    <row r="308" spans="1:5" ht="33" customHeight="1" x14ac:dyDescent="0.3">
      <c r="A308" s="64" t="s">
        <v>792</v>
      </c>
      <c r="B308" s="64" t="str">
        <f>VLOOKUP($A308,Questions!$A$3:$X$333,2,0)&amp;""</f>
        <v>Will you sign appropriate GDPR Standard Contractual Clauses (SCCs) with the institution?</v>
      </c>
      <c r="C308" s="64" t="str">
        <f>VLOOKUP($A308,Questions!$A$3:$X$333,19,0)&amp;""</f>
        <v/>
      </c>
      <c r="D308" s="64" t="str">
        <f>VLOOKUP($A308,Questions!$A$3:$X$333,20,0)&amp;""</f>
        <v/>
      </c>
    </row>
    <row r="309" spans="1:5" ht="22.5" customHeight="1" x14ac:dyDescent="0.3">
      <c r="A309" s="64" t="s">
        <v>794</v>
      </c>
      <c r="B309" s="64" t="str">
        <f>VLOOKUP($A309,Questions!$A$3:$X$333,2,0)&amp;""</f>
        <v>Will data be collected from or processed in or stored in China?</v>
      </c>
      <c r="C309" s="64" t="str">
        <f>VLOOKUP($A309,Questions!$A$3:$X$333,19,0)&amp;""</f>
        <v/>
      </c>
      <c r="D309" s="64" t="str">
        <f>VLOOKUP($A309,Questions!$A$3:$X$333,20,0)&amp;""</f>
        <v/>
      </c>
    </row>
    <row r="310" spans="1:5" ht="34.5" customHeight="1" x14ac:dyDescent="0.25">
      <c r="A310" s="64" t="s">
        <v>797</v>
      </c>
      <c r="B310" s="64" t="str">
        <f>VLOOKUP($A310,Questions!$A$3:$X$333,2,0)&amp;""</f>
        <v>Do you comply with PIPL security, privacy, and data localization requirements?</v>
      </c>
      <c r="C310" s="64" t="str">
        <f>VLOOKUP($A310,Questions!$A$3:$X$333,19,0)&amp;""</f>
        <v/>
      </c>
      <c r="D310" s="64" t="str">
        <f>VLOOKUP($A310,Questions!$A$3:$X$333,20,0)&amp;""</f>
        <v/>
      </c>
      <c r="E310" s="258" t="s">
        <v>1536</v>
      </c>
    </row>
    <row r="311" spans="1:5" ht="17.5" x14ac:dyDescent="0.3">
      <c r="A311" s="70" t="str">
        <f>VLOOKUP(LEFT($A312,4),'Auto Responses'!$N$4:$O$38,2,0)&amp;""</f>
        <v xml:space="preserve"> Data Privacy</v>
      </c>
      <c r="B311" s="70"/>
      <c r="C311" s="63" t="str">
        <f>Questions!$S$2</f>
        <v>Reason for Question</v>
      </c>
      <c r="D311" s="63" t="str">
        <f>Questions!$T$2</f>
        <v>Follow-Up Inquiries/Responses</v>
      </c>
    </row>
    <row r="312" spans="1:5" ht="27" x14ac:dyDescent="0.3">
      <c r="A312" s="64" t="s">
        <v>1094</v>
      </c>
      <c r="B312" s="64" t="str">
        <f>VLOOKUP($A312,Questions!$A$3:$X$333,2,0)&amp;""</f>
        <v>Have you performed a Data Privacy Impact Assesssment for the solution/project?</v>
      </c>
      <c r="C312" s="64" t="str">
        <f>VLOOKUP($A312,Questions!$A$3:$X$333,19,0)&amp;""</f>
        <v>To be added in a later version</v>
      </c>
      <c r="D312" s="64" t="str">
        <f>VLOOKUP($A312,Questions!$A$3:$X$333,20,0)&amp;""</f>
        <v>To be added in a later version</v>
      </c>
    </row>
    <row r="313" spans="1:5" ht="40.5" x14ac:dyDescent="0.3">
      <c r="A313" s="64" t="s">
        <v>1095</v>
      </c>
      <c r="B313" s="64" t="str">
        <f>VLOOKUP($A313,Questions!$A$3:$X$333,2,0)&amp;""</f>
        <v>Do you provide an end-user privacy notice about privacy policies and procedures that identify the purpose(s) for which personal information is collected, used, retained, and disclosed?</v>
      </c>
      <c r="C313" s="64" t="str">
        <f>VLOOKUP($A313,Questions!$A$3:$X$333,19,0)&amp;""</f>
        <v/>
      </c>
      <c r="D313" s="64" t="str">
        <f>VLOOKUP($A313,Questions!$A$3:$X$333,20,0)&amp;""</f>
        <v/>
      </c>
    </row>
    <row r="314" spans="1:5" ht="40.5" x14ac:dyDescent="0.3">
      <c r="A314" s="64" t="s">
        <v>1096</v>
      </c>
      <c r="B314" s="64" t="str">
        <f>VLOOKUP($A314,Questions!$A$3:$X$333,2,0)&amp;""</f>
        <v>Do you describe the choices available to the individual and obtain implicit or explicit consent with respect to the collection, use, and disclosure of personal information?</v>
      </c>
      <c r="C314" s="64" t="str">
        <f>VLOOKUP($A314,Questions!$A$3:$X$333,19,0)&amp;""</f>
        <v/>
      </c>
      <c r="D314" s="64" t="str">
        <f>VLOOKUP($A314,Questions!$A$3:$X$333,20,0)&amp;""</f>
        <v/>
      </c>
    </row>
    <row r="315" spans="1:5" ht="40.5" x14ac:dyDescent="0.3">
      <c r="A315" s="64" t="s">
        <v>1097</v>
      </c>
      <c r="B315" s="64" t="str">
        <f>VLOOKUP($A315,Questions!$A$3:$X$333,2,0)&amp;""</f>
        <v>Do you collect personal information only for the purpose(s) identified in the agreement with an institution or, if there is none, the purpose(s) identified in the privacy notice?</v>
      </c>
      <c r="C315" s="64" t="str">
        <f>VLOOKUP($A315,Questions!$A$3:$X$333,19,0)&amp;""</f>
        <v/>
      </c>
      <c r="D315" s="64" t="str">
        <f>VLOOKUP($A315,Questions!$A$3:$X$333,20,0)&amp;""</f>
        <v/>
      </c>
    </row>
    <row r="316" spans="1:5" ht="24.75" customHeight="1" x14ac:dyDescent="0.3">
      <c r="A316" s="64" t="s">
        <v>1098</v>
      </c>
      <c r="B316" s="64" t="str">
        <f>VLOOKUP($A316,Questions!$A$3:$X$333,2,0)&amp;""</f>
        <v>Do you have a documented list of personal data your service maintains?</v>
      </c>
      <c r="C316" s="64" t="str">
        <f>VLOOKUP($A316,Questions!$A$3:$X$333,19,0)&amp;""</f>
        <v/>
      </c>
      <c r="D316" s="64" t="str">
        <f>VLOOKUP($A316,Questions!$A$3:$X$333,20,0)&amp;""</f>
        <v/>
      </c>
    </row>
    <row r="317" spans="1:5" ht="40.5" x14ac:dyDescent="0.3">
      <c r="A317" s="64" t="s">
        <v>1099</v>
      </c>
      <c r="B317" s="64" t="str">
        <f>VLOOKUP($A317,Questions!$A$3:$X$333,2,0)&amp;""</f>
        <v>Do you retain personal information for only as long as necessary to fulfill the stated purpose(s) or as required by law or regulation and thereafter appropriately dispose of such information?</v>
      </c>
      <c r="C317" s="64" t="str">
        <f>VLOOKUP($A317,Questions!$A$3:$X$333,19,0)&amp;""</f>
        <v/>
      </c>
      <c r="D317" s="64" t="str">
        <f>VLOOKUP($A317,Questions!$A$3:$X$333,20,0)&amp;""</f>
        <v/>
      </c>
    </row>
    <row r="318" spans="1:5" ht="27" x14ac:dyDescent="0.3">
      <c r="A318" s="64" t="s">
        <v>1100</v>
      </c>
      <c r="B318" s="64" t="str">
        <f>VLOOKUP($A318,Questions!$A$3:$X$333,2,0)&amp;""</f>
        <v>Do you provide individuals with access to their personal information for review and update (i.e., data subject rights)?</v>
      </c>
      <c r="C318" s="64" t="str">
        <f>VLOOKUP($A318,Questions!$A$3:$X$333,19,0)&amp;""</f>
        <v/>
      </c>
      <c r="D318" s="64" t="str">
        <f>VLOOKUP($A318,Questions!$A$3:$X$333,20,0)&amp;""</f>
        <v/>
      </c>
    </row>
    <row r="319" spans="1:5" ht="40.5" x14ac:dyDescent="0.3">
      <c r="A319" s="64" t="s">
        <v>1101</v>
      </c>
      <c r="B319" s="64" t="str">
        <f>VLOOKUP($A319,Questions!$A$3:$X$333,2,0)&amp;""</f>
        <v>Do you disclose personal information to third parties only for the purpose(s) identified in the privacy notice or with the implicit or explicit consent of the individual?</v>
      </c>
      <c r="C319" s="64" t="str">
        <f>VLOOKUP($A319,Questions!$A$3:$X$333,19,0)&amp;""</f>
        <v/>
      </c>
      <c r="D319" s="64" t="str">
        <f>VLOOKUP($A319,Questions!$A$3:$X$333,20,0)&amp;""</f>
        <v/>
      </c>
    </row>
    <row r="320" spans="1:5" ht="27" x14ac:dyDescent="0.3">
      <c r="A320" s="64" t="s">
        <v>1102</v>
      </c>
      <c r="B320" s="64" t="str">
        <f>VLOOKUP($A320,Questions!$A$3:$X$333,2,0)&amp;""</f>
        <v>Do you protect personal information against unauthorized access (both physical and logical)?</v>
      </c>
      <c r="C320" s="64" t="str">
        <f>VLOOKUP($A320,Questions!$A$3:$X$333,19,0)&amp;""</f>
        <v/>
      </c>
      <c r="D320" s="64" t="str">
        <f>VLOOKUP($A320,Questions!$A$3:$X$333,20,0)&amp;""</f>
        <v/>
      </c>
    </row>
    <row r="321" spans="1:5" ht="40.5" customHeight="1" x14ac:dyDescent="0.3">
      <c r="A321" s="64" t="s">
        <v>1103</v>
      </c>
      <c r="B321" s="64" t="str">
        <f>VLOOKUP($A321,Questions!$A$3:$X$333,2,0)&amp;""</f>
        <v>Do you maintain accurate, complete, and relevant personal information for the purposes identified in the privacy notice?</v>
      </c>
      <c r="C321" s="64" t="str">
        <f>VLOOKUP($A321,Questions!$A$3:$X$333,19,0)&amp;""</f>
        <v/>
      </c>
      <c r="D321" s="64" t="str">
        <f>VLOOKUP($A321,Questions!$A$3:$X$333,20,0)&amp;""</f>
        <v/>
      </c>
    </row>
    <row r="322" spans="1:5" ht="35.25" customHeight="1" x14ac:dyDescent="0.3">
      <c r="A322" s="64" t="s">
        <v>1104</v>
      </c>
      <c r="B322" s="64" t="str">
        <f>VLOOKUP($A322,Questions!$A$3:$X$333,2,0)&amp;""</f>
        <v>Do you have procedures to address privacy-related noncompliance complaints and disputes?</v>
      </c>
      <c r="C322" s="64" t="str">
        <f>VLOOKUP($A322,Questions!$A$3:$X$333,19,0)&amp;""</f>
        <v/>
      </c>
      <c r="D322" s="64" t="str">
        <f>VLOOKUP($A322,Questions!$A$3:$X$333,20,0)&amp;""</f>
        <v/>
      </c>
    </row>
    <row r="323" spans="1:5" ht="22.5" customHeight="1" x14ac:dyDescent="0.3">
      <c r="A323" s="64" t="s">
        <v>1105</v>
      </c>
      <c r="B323" s="64" t="str">
        <f>VLOOKUP($A323,Questions!$A$3:$X$333,2,0)&amp;""</f>
        <v>Do you "anonymize," "de-identify," or otherwise mask personal data?</v>
      </c>
      <c r="C323" s="64" t="str">
        <f>VLOOKUP($A323,Questions!$A$3:$X$333,19,0)&amp;""</f>
        <v/>
      </c>
      <c r="D323" s="64" t="str">
        <f>VLOOKUP($A323,Questions!$A$3:$X$333,20,0)&amp;""</f>
        <v/>
      </c>
    </row>
    <row r="324" spans="1:5" ht="78" customHeight="1" x14ac:dyDescent="0.3">
      <c r="A324" s="64" t="s">
        <v>1106</v>
      </c>
      <c r="B324" s="64" t="str">
        <f>VLOOKUP($A324,Questions!$A$3:$X$333,2,0)&amp;""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324" s="64" t="str">
        <f>VLOOKUP($A324,Questions!$A$3:$X$333,19,0)&amp;""</f>
        <v/>
      </c>
      <c r="D324" s="64" t="str">
        <f>VLOOKUP($A324,Questions!$A$3:$X$333,20,0)&amp;""</f>
        <v/>
      </c>
    </row>
    <row r="325" spans="1:5" ht="35.25" customHeight="1" x14ac:dyDescent="0.3">
      <c r="A325" s="64" t="s">
        <v>1107</v>
      </c>
      <c r="B325" s="64" t="str">
        <f>VLOOKUP($A325,Questions!$A$3:$X$333,2,0)&amp;""</f>
        <v>Do you certify stop-processing requests, including any data that is processed by a third party on your behalf?</v>
      </c>
      <c r="C325" s="64" t="str">
        <f>VLOOKUP($A325,Questions!$A$3:$X$333,19,0)&amp;""</f>
        <v/>
      </c>
      <c r="D325" s="64" t="str">
        <f>VLOOKUP($A325,Questions!$A$3:$X$333,20,0)&amp;""</f>
        <v/>
      </c>
    </row>
    <row r="326" spans="1:5" ht="21" customHeight="1" x14ac:dyDescent="0.25">
      <c r="A326" s="64" t="s">
        <v>1108</v>
      </c>
      <c r="B326" s="64" t="str">
        <f>VLOOKUP($A326,Questions!$A$3:$X$333,2,0)&amp;""</f>
        <v>Do you have a process to review code for ethical considerations?</v>
      </c>
      <c r="C326" s="64" t="str">
        <f>VLOOKUP($A326,Questions!$A$3:$X$333,19,0)&amp;""</f>
        <v/>
      </c>
      <c r="D326" s="64" t="str">
        <f>VLOOKUP($A326,Questions!$A$3:$X$333,20,0)&amp;""</f>
        <v/>
      </c>
      <c r="E326" s="258" t="s">
        <v>1536</v>
      </c>
    </row>
    <row r="327" spans="1:5" ht="17.5" x14ac:dyDescent="0.3">
      <c r="A327" s="70" t="str">
        <f>VLOOKUP(LEFT($A328,4),'Auto Responses'!$N$4:$O$38,2,0)&amp;""</f>
        <v xml:space="preserve"> Privacy and AI</v>
      </c>
      <c r="B327" s="70"/>
      <c r="C327" s="63" t="str">
        <f>Questions!$S$2</f>
        <v>Reason for Question</v>
      </c>
      <c r="D327" s="63" t="str">
        <f>Questions!$T$2</f>
        <v>Follow-Up Inquiries/Responses</v>
      </c>
    </row>
    <row r="328" spans="1:5" ht="43" customHeight="1" x14ac:dyDescent="0.3">
      <c r="A328" s="64" t="s">
        <v>1109</v>
      </c>
      <c r="B328" s="64" t="str">
        <f>VLOOKUP($A328,Questions!$A$3:$X$333,2,0)&amp;""</f>
        <v>Does your service use AI for the processing of institutional data?</v>
      </c>
      <c r="C328" s="64" t="str">
        <f>VLOOKUP($A328,Questions!$A$3:$X$333,18,0)&amp;""</f>
        <v/>
      </c>
      <c r="D328" s="64" t="str">
        <f>VLOOKUP($A328,Questions!$A$3:$X$333,19,0)&amp;""</f>
        <v>To be added in a later version</v>
      </c>
    </row>
    <row r="329" spans="1:5" ht="43" customHeight="1" x14ac:dyDescent="0.3">
      <c r="A329" s="64" t="s">
        <v>1110</v>
      </c>
      <c r="B329" s="64" t="str">
        <f>VLOOKUP($A329,Questions!$A$3:$X$333,2,0)&amp;""</f>
        <v>Is any institutional data retained in AI processing?*</v>
      </c>
      <c r="C329" s="64" t="str">
        <f>VLOOKUP($A329,Questions!$A$3:$X$333,18,0)&amp;""</f>
        <v>Please explain why this does not apply to your product or service.</v>
      </c>
      <c r="D329" s="64" t="str">
        <f>VLOOKUP($A329,Questions!$A$3:$X$333,19,0)&amp;""</f>
        <v/>
      </c>
    </row>
    <row r="330" spans="1:5" ht="43" customHeight="1" x14ac:dyDescent="0.3">
      <c r="A330" s="64" t="s">
        <v>808</v>
      </c>
      <c r="B330" s="64" t="str">
        <f>VLOOKUP($A330,Questions!$A$3:$X$333,2,0)&amp;""</f>
        <v>Do you have agreements in place with third parties or subprocessors regarding the protection of customer data and use of AI?*</v>
      </c>
      <c r="C330" s="64" t="str">
        <f>VLOOKUP($A330,Questions!$A$3:$X$333,18,0)&amp;""</f>
        <v>Please explain why this does not apply to your product or service.</v>
      </c>
      <c r="D330" s="64" t="str">
        <f>VLOOKUP($A330,Questions!$A$3:$X$333,19,0)&amp;""</f>
        <v/>
      </c>
    </row>
    <row r="331" spans="1:5" ht="43" customHeight="1" x14ac:dyDescent="0.3">
      <c r="A331" s="64" t="s">
        <v>810</v>
      </c>
      <c r="B331" s="64" t="str">
        <f>VLOOKUP($A331,Questions!$A$3:$X$333,2,0)&amp;""</f>
        <v>Will institutional data be processed through a third party or subprocessor that also uses AI?</v>
      </c>
      <c r="C331" s="64" t="str">
        <f>VLOOKUP($A331,Questions!$A$3:$X$333,18,0)&amp;""</f>
        <v/>
      </c>
      <c r="D331" s="64" t="str">
        <f>VLOOKUP($A331,Questions!$A$3:$X$333,19,0)&amp;""</f>
        <v/>
      </c>
    </row>
    <row r="332" spans="1:5" ht="43" customHeight="1" x14ac:dyDescent="0.3">
      <c r="A332" s="64" t="s">
        <v>811</v>
      </c>
      <c r="B332" s="64" t="str">
        <f>VLOOKUP($A332,Questions!$A$3:$X$333,2,0)&amp;""</f>
        <v>Is AI processing limited to fully licensed commercial enterprise AI services?</v>
      </c>
      <c r="C332" s="64" t="str">
        <f>VLOOKUP($A332,Questions!$A$3:$X$333,18,0)&amp;""</f>
        <v>Please explain why this does not apply to your product or service.</v>
      </c>
      <c r="D332" s="64" t="str">
        <f>VLOOKUP($A332,Questions!$A$3:$X$333,19,0)&amp;""</f>
        <v/>
      </c>
    </row>
    <row r="333" spans="1:5" ht="43" customHeight="1" x14ac:dyDescent="0.3">
      <c r="A333" s="64" t="s">
        <v>813</v>
      </c>
      <c r="B333" s="64" t="str">
        <f>VLOOKUP($A333,Questions!$A$3:$X$333,2,0)&amp;""</f>
        <v>Will institutional data be used or processed by any shared AI services?</v>
      </c>
      <c r="C333" s="64" t="str">
        <f>VLOOKUP($A333,Questions!$A$3:$X$333,18,0)&amp;""</f>
        <v/>
      </c>
      <c r="D333" s="64" t="str">
        <f>VLOOKUP($A333,Questions!$A$3:$X$333,19,0)&amp;""</f>
        <v/>
      </c>
    </row>
    <row r="334" spans="1:5" ht="43" customHeight="1" x14ac:dyDescent="0.3">
      <c r="A334" s="64" t="s">
        <v>814</v>
      </c>
      <c r="B334" s="64" t="str">
        <f>VLOOKUP($A334,Questions!$A$3:$X$333,2,0)&amp;""</f>
        <v>Do you have safeguards in place to protect institutional data and data privacy from unintended AI queries or processing?</v>
      </c>
      <c r="C334" s="64" t="str">
        <f>VLOOKUP($A334,Questions!$A$3:$X$333,18,0)&amp;""</f>
        <v/>
      </c>
      <c r="D334" s="64" t="str">
        <f>VLOOKUP($A334,Questions!$A$3:$X$333,19,0)&amp;""</f>
        <v/>
      </c>
    </row>
    <row r="335" spans="1:5" ht="43" customHeight="1" x14ac:dyDescent="0.3">
      <c r="A335" s="64" t="s">
        <v>815</v>
      </c>
      <c r="B335" s="64" t="str">
        <f>VLOOKUP($A335,Questions!$A$3:$X$333,2,0)&amp;""</f>
        <v>Do you provide choice to the user to opt out of AI use?</v>
      </c>
      <c r="C335" s="64" t="str">
        <f>VLOOKUP($A335,Questions!$A$3:$X$333,18,0)&amp;""</f>
        <v>Please explain why this does not apply to your product or service.</v>
      </c>
      <c r="D335" s="64" t="str">
        <f>VLOOKUP($A335,Questions!$A$3:$X$333,19,0)&amp;""</f>
        <v/>
      </c>
    </row>
    <row r="336" spans="1:5" ht="43" customHeight="1" x14ac:dyDescent="0.3">
      <c r="A336" s="70" t="str">
        <f>VLOOKUP(LEFT($A337,4),'Auto Responses'!$N$4:$O$38,2,0)&amp;""</f>
        <v xml:space="preserve"> AI Qualifying Questions</v>
      </c>
      <c r="B336" s="70"/>
      <c r="C336" s="63" t="str">
        <f>Questions!$S$2</f>
        <v>Reason for Question</v>
      </c>
      <c r="D336" s="63" t="str">
        <f>Questions!$T$2</f>
        <v>Follow-Up Inquiries/Responses</v>
      </c>
    </row>
    <row r="337" spans="1:5" ht="43" customHeight="1" x14ac:dyDescent="0.3">
      <c r="A337" s="64" t="s">
        <v>817</v>
      </c>
      <c r="B337" s="64" t="str">
        <f>VLOOKUP($A337,Questions!$A$3:$X$333,2,0)&amp;""</f>
        <v>Does your solution leverage machine learning (ML) or do you plan to do so in the next 12 months?</v>
      </c>
      <c r="C337" s="64" t="str">
        <f>VLOOKUP($A337,Questions!$A$3:$X$333,19,0)&amp;""</f>
        <v>To be added in a later version</v>
      </c>
      <c r="D337" s="64" t="str">
        <f>VLOOKUP($A337,Questions!$A$3:$X$333,20,0)&amp;""</f>
        <v>To be added in a later version</v>
      </c>
    </row>
    <row r="338" spans="1:5" ht="43" customHeight="1" x14ac:dyDescent="0.25">
      <c r="A338" s="64" t="s">
        <v>819</v>
      </c>
      <c r="B338" s="64" t="str">
        <f>VLOOKUP($A338,Questions!$A$3:$X$333,2,0)&amp;""</f>
        <v>Does your solution leverage a large language model (LLM) or do you plan to do so in the next 12 months?</v>
      </c>
      <c r="C338" s="64" t="str">
        <f>VLOOKUP($A338,Questions!$A$3:$X$333,19,0)&amp;""</f>
        <v/>
      </c>
      <c r="D338" s="64" t="str">
        <f>VLOOKUP($A338,Questions!$A$3:$X$333,20,0)&amp;""</f>
        <v/>
      </c>
      <c r="E338" s="258" t="s">
        <v>1536</v>
      </c>
    </row>
    <row r="339" spans="1:5" ht="43" customHeight="1" x14ac:dyDescent="0.3">
      <c r="A339" s="70" t="str">
        <f>VLOOKUP(LEFT($A340,4),'Auto Responses'!$N$4:$O$38,2,0)&amp;""</f>
        <v xml:space="preserve"> General AI Questions</v>
      </c>
      <c r="B339" s="70"/>
      <c r="C339" s="63" t="str">
        <f>Questions!$S$2</f>
        <v>Reason for Question</v>
      </c>
      <c r="D339" s="63" t="str">
        <f>Questions!$T$2</f>
        <v>Follow-Up Inquiries/Responses</v>
      </c>
    </row>
    <row r="340" spans="1:5" ht="43" customHeight="1" x14ac:dyDescent="0.3">
      <c r="A340" s="64" t="s">
        <v>821</v>
      </c>
      <c r="B340" s="64" t="str">
        <f>VLOOKUP($A340,Questions!$A$3:$X$333,2,0)&amp;""</f>
        <v>Does your solution have an AI risk model when developing or implementing your solution's AI model?*</v>
      </c>
      <c r="C340" s="64" t="str">
        <f>VLOOKUP($A340,Questions!$A$3:$X$333,19,0)&amp;""</f>
        <v>To be added in a later version</v>
      </c>
      <c r="D340" s="64" t="str">
        <f>VLOOKUP($A340,Questions!$A$3:$X$333,20,0)&amp;""</f>
        <v>To be added in a later version</v>
      </c>
    </row>
    <row r="341" spans="1:5" ht="43" customHeight="1" x14ac:dyDescent="0.3">
      <c r="A341" s="64" t="s">
        <v>823</v>
      </c>
      <c r="B341" s="64" t="str">
        <f>VLOOKUP($A341,Questions!$A$3:$X$333,2,0)&amp;""</f>
        <v>Can your solution's AI features be disabled by tenant and/or user?*</v>
      </c>
      <c r="C341" s="64" t="str">
        <f>VLOOKUP($A341,Questions!$A$3:$X$333,19,0)&amp;""</f>
        <v/>
      </c>
      <c r="D341" s="64" t="str">
        <f>VLOOKUP($A341,Questions!$A$3:$X$333,20,0)&amp;""</f>
        <v/>
      </c>
    </row>
    <row r="342" spans="1:5" ht="43" customHeight="1" x14ac:dyDescent="0.3">
      <c r="A342" s="64" t="s">
        <v>825</v>
      </c>
      <c r="B342" s="64" t="str">
        <f>VLOOKUP($A342,Questions!$A$3:$X$333,2,0)&amp;""</f>
        <v>Have your staff completed responsible AI training?*</v>
      </c>
      <c r="C342" s="64" t="str">
        <f>VLOOKUP($A342,Questions!$A$3:$X$333,19,0)&amp;""</f>
        <v/>
      </c>
      <c r="D342" s="64" t="str">
        <f>VLOOKUP($A342,Questions!$A$3:$X$333,20,0)&amp;""</f>
        <v/>
      </c>
    </row>
    <row r="343" spans="1:5" ht="43" customHeight="1" x14ac:dyDescent="0.3">
      <c r="A343" s="64" t="s">
        <v>826</v>
      </c>
      <c r="B343" s="64" t="str">
        <f>VLOOKUP($A343,Questions!$A$3:$X$333,2,0)&amp;""</f>
        <v>Please describe the capabilities of your solution's AI features.</v>
      </c>
      <c r="C343" s="64" t="str">
        <f>VLOOKUP($A343,Questions!$A$3:$X$333,19,0)&amp;""</f>
        <v/>
      </c>
      <c r="D343" s="64" t="str">
        <f>VLOOKUP($A343,Questions!$A$3:$X$333,20,0)&amp;""</f>
        <v/>
      </c>
    </row>
    <row r="344" spans="1:5" ht="43" customHeight="1" x14ac:dyDescent="0.25">
      <c r="A344" s="64" t="s">
        <v>828</v>
      </c>
      <c r="B344" s="64" t="str">
        <f>VLOOKUP($A344,Questions!$A$3:$X$333,2,0)&amp;""</f>
        <v>Does your solution support business rules to protect sensitive data from being ingested by the AI model?</v>
      </c>
      <c r="C344" s="64" t="str">
        <f>VLOOKUP($A344,Questions!$A$3:$X$333,19,0)&amp;""</f>
        <v/>
      </c>
      <c r="D344" s="64" t="str">
        <f>VLOOKUP($A344,Questions!$A$3:$X$333,20,0)&amp;""</f>
        <v/>
      </c>
      <c r="E344" s="258" t="s">
        <v>1536</v>
      </c>
    </row>
    <row r="345" spans="1:5" ht="43" customHeight="1" x14ac:dyDescent="0.3">
      <c r="A345" s="70" t="str">
        <f>VLOOKUP(LEFT($A346,4),'Auto Responses'!$N$4:$O$38,2,0)&amp;""</f>
        <v xml:space="preserve"> AI Policy</v>
      </c>
      <c r="B345" s="70"/>
      <c r="C345" s="63" t="str">
        <f>Questions!$S$2</f>
        <v>Reason for Question</v>
      </c>
      <c r="D345" s="63" t="str">
        <f>Questions!$T$2</f>
        <v>Follow-Up Inquiries/Responses</v>
      </c>
    </row>
    <row r="346" spans="1:5" ht="65.25" customHeight="1" x14ac:dyDescent="0.3">
      <c r="A346" s="64" t="s">
        <v>830</v>
      </c>
      <c r="B346" s="64" t="str">
        <f>VLOOKUP($A346,Questions!$A$3:$X$333,2,0)&amp;""</f>
        <v>Are your AI developer's policies, processes, procedures, and practices across the organization related to the mapping, measuring, and managing of AI risks conspicuously posted, unambiguous, and implemented effectively?*</v>
      </c>
      <c r="C346" s="64" t="str">
        <f>VLOOKUP($A346,Questions!$A$3:$X$333,19,0)&amp;""</f>
        <v>To be added in a later version</v>
      </c>
      <c r="D346" s="64" t="str">
        <f>VLOOKUP($A346,Questions!$A$3:$X$333,20,0)&amp;""</f>
        <v>To be added in a later version</v>
      </c>
    </row>
    <row r="347" spans="1:5" ht="43" customHeight="1" x14ac:dyDescent="0.3">
      <c r="A347" s="64" t="s">
        <v>831</v>
      </c>
      <c r="B347" s="64" t="str">
        <f>VLOOKUP($A347,Questions!$A$3:$X$333,2,0)&amp;""</f>
        <v>Have you identified and measured AI risks?*</v>
      </c>
      <c r="C347" s="64" t="str">
        <f>VLOOKUP($A347,Questions!$A$3:$X$333,19,0)&amp;""</f>
        <v/>
      </c>
      <c r="D347" s="64" t="str">
        <f>VLOOKUP($A347,Questions!$A$3:$X$333,20,0)&amp;""</f>
        <v/>
      </c>
    </row>
    <row r="348" spans="1:5" ht="43" customHeight="1" x14ac:dyDescent="0.3">
      <c r="A348" s="64" t="s">
        <v>832</v>
      </c>
      <c r="B348" s="64" t="str">
        <f>VLOOKUP($A348,Questions!$A$3:$X$333,2,0)&amp;""</f>
        <v>In the event of an incident, can your solution's AI features be disabled in a timely manner?*</v>
      </c>
      <c r="C348" s="64" t="str">
        <f>VLOOKUP($A348,Questions!$A$3:$X$333,19,0)&amp;""</f>
        <v/>
      </c>
      <c r="D348" s="64" t="str">
        <f>VLOOKUP($A348,Questions!$A$3:$X$333,20,0)&amp;""</f>
        <v/>
      </c>
    </row>
    <row r="349" spans="1:5" ht="43" customHeight="1" x14ac:dyDescent="0.3">
      <c r="A349" s="64" t="s">
        <v>833</v>
      </c>
      <c r="B349" s="64" t="str">
        <f>VLOOKUP($A349,Questions!$A$3:$X$333,2,0)&amp;""</f>
        <v>If disabled because of an incident, can your solution's AI features be re-enabled in a timely manner?*</v>
      </c>
      <c r="C349" s="64" t="str">
        <f>VLOOKUP($A349,Questions!$A$3:$X$333,19,0)&amp;""</f>
        <v/>
      </c>
      <c r="D349" s="64" t="str">
        <f>VLOOKUP($A349,Questions!$A$3:$X$333,20,0)&amp;""</f>
        <v/>
      </c>
    </row>
    <row r="350" spans="1:5" ht="43" customHeight="1" x14ac:dyDescent="0.25">
      <c r="A350" s="64" t="s">
        <v>834</v>
      </c>
      <c r="B350" s="64" t="str">
        <f>VLOOKUP($A350,Questions!$A$3:$X$333,2,0)&amp;""</f>
        <v>Do you have documented technical and procedural processes to address potential negative impacts of AI as described by the AI Risk Management Framework (RMF)?</v>
      </c>
      <c r="C350" s="64" t="str">
        <f>VLOOKUP($A350,Questions!$A$3:$X$333,19,0)&amp;""</f>
        <v/>
      </c>
      <c r="D350" s="64" t="str">
        <f>VLOOKUP($A350,Questions!$A$3:$X$333,20,0)&amp;""</f>
        <v/>
      </c>
      <c r="E350" s="258" t="s">
        <v>1536</v>
      </c>
    </row>
    <row r="351" spans="1:5" ht="43" customHeight="1" x14ac:dyDescent="0.3">
      <c r="A351" s="70" t="str">
        <f>VLOOKUP(LEFT($A352,4),'Auto Responses'!$N$4:$O$38,2,0)&amp;""</f>
        <v xml:space="preserve"> AI Data Security</v>
      </c>
      <c r="B351" s="70"/>
      <c r="C351" s="63" t="str">
        <f>Questions!$S$2</f>
        <v>Reason for Question</v>
      </c>
      <c r="D351" s="63" t="str">
        <f>Questions!$T$2</f>
        <v>Follow-Up Inquiries/Responses</v>
      </c>
    </row>
    <row r="352" spans="1:5" ht="43" customHeight="1" x14ac:dyDescent="0.3">
      <c r="A352" s="64" t="s">
        <v>835</v>
      </c>
      <c r="B352" s="64" t="str">
        <f>VLOOKUP($A352,Questions!$A$3:$X$333,2,0)&amp;""</f>
        <v>If sensitive data is introduced to your solution's AI model, can the data be removed from the AI model by request?*</v>
      </c>
      <c r="C352" s="64" t="str">
        <f>VLOOKUP($A352,Questions!$A$3:$X$333,19,0)&amp;""</f>
        <v>To be added in a later version</v>
      </c>
      <c r="D352" s="64" t="str">
        <f>VLOOKUP($A352,Questions!$A$3:$X$333,20,0)&amp;""</f>
        <v>To be added in a later version</v>
      </c>
    </row>
    <row r="353" spans="1:5" ht="43" customHeight="1" x14ac:dyDescent="0.3">
      <c r="A353" s="64" t="s">
        <v>836</v>
      </c>
      <c r="B353" s="64" t="str">
        <f>VLOOKUP($A353,Questions!$A$3:$X$333,2,0)&amp;""</f>
        <v>Is user input data used to influence your solution's AI model?*</v>
      </c>
      <c r="C353" s="64" t="str">
        <f>VLOOKUP($A353,Questions!$A$3:$X$333,19,0)&amp;""</f>
        <v/>
      </c>
      <c r="D353" s="64" t="str">
        <f>VLOOKUP($A353,Questions!$A$3:$X$333,20,0)&amp;""</f>
        <v/>
      </c>
    </row>
    <row r="354" spans="1:5" ht="43" customHeight="1" x14ac:dyDescent="0.3">
      <c r="A354" s="64" t="s">
        <v>837</v>
      </c>
      <c r="B354" s="64" t="str">
        <f>VLOOKUP($A354,Questions!$A$3:$X$333,2,0)&amp;""</f>
        <v>Do you provide logging for your solution's AI feature(s) that includes user, date, and action taken?*</v>
      </c>
      <c r="C354" s="64" t="str">
        <f>VLOOKUP($A354,Questions!$A$3:$X$333,19,0)&amp;""</f>
        <v/>
      </c>
      <c r="D354" s="64" t="str">
        <f>VLOOKUP($A354,Questions!$A$3:$X$333,20,0)&amp;""</f>
        <v/>
      </c>
    </row>
    <row r="355" spans="1:5" ht="43" customHeight="1" x14ac:dyDescent="0.3">
      <c r="A355" s="64" t="s">
        <v>839</v>
      </c>
      <c r="B355" s="64" t="str">
        <f>VLOOKUP($A355,Questions!$A$3:$X$333,2,0)&amp;""</f>
        <v>Please describe how you validate user inputs.</v>
      </c>
      <c r="C355" s="64" t="str">
        <f>VLOOKUP($A355,Questions!$A$3:$X$333,19,0)&amp;""</f>
        <v/>
      </c>
      <c r="D355" s="64" t="str">
        <f>VLOOKUP($A355,Questions!$A$3:$X$333,20,0)&amp;""</f>
        <v/>
      </c>
    </row>
    <row r="356" spans="1:5" ht="43" customHeight="1" x14ac:dyDescent="0.25">
      <c r="A356" s="64" t="s">
        <v>840</v>
      </c>
      <c r="B356" s="64" t="str">
        <f>VLOOKUP($A356,Questions!$A$3:$X$333,2,0)&amp;""</f>
        <v>Do you plan for and mitigate supply-chain risk related to your AI features?</v>
      </c>
      <c r="C356" s="64" t="str">
        <f>VLOOKUP($A356,Questions!$A$3:$X$333,19,0)&amp;""</f>
        <v/>
      </c>
      <c r="D356" s="64" t="str">
        <f>VLOOKUP($A356,Questions!$A$3:$X$333,20,0)&amp;""</f>
        <v/>
      </c>
      <c r="E356" s="258" t="s">
        <v>1536</v>
      </c>
    </row>
    <row r="357" spans="1:5" ht="43" customHeight="1" x14ac:dyDescent="0.3">
      <c r="A357" s="70" t="str">
        <f>VLOOKUP(LEFT($A358,4),'Auto Responses'!$N$4:$O$38,2,0)&amp;""</f>
        <v xml:space="preserve"> AI Machine Learning</v>
      </c>
      <c r="B357" s="70"/>
      <c r="C357" s="63" t="str">
        <f>Questions!$S$2</f>
        <v>Reason for Question</v>
      </c>
      <c r="D357" s="63" t="str">
        <f>Questions!$T$2</f>
        <v>Follow-Up Inquiries/Responses</v>
      </c>
    </row>
    <row r="358" spans="1:5" ht="43" customHeight="1" x14ac:dyDescent="0.3">
      <c r="A358" s="64" t="s">
        <v>842</v>
      </c>
      <c r="B358" s="64" t="str">
        <f>VLOOKUP($A358,Questions!$A$3:$X$333,2,0)&amp;""</f>
        <v>Do you separate ML training data from your ML solution data?*</v>
      </c>
      <c r="C358" s="64" t="str">
        <f>VLOOKUP($A358,Questions!$A$3:$X$333,19,0)&amp;""</f>
        <v>To be added in a later version</v>
      </c>
      <c r="D358" s="64" t="str">
        <f>VLOOKUP($A358,Questions!$A$3:$X$333,20,0)&amp;""</f>
        <v>To be added in a later version</v>
      </c>
    </row>
    <row r="359" spans="1:5" ht="43" customHeight="1" x14ac:dyDescent="0.3">
      <c r="A359" s="64" t="s">
        <v>844</v>
      </c>
      <c r="B359" s="64" t="str">
        <f>VLOOKUP($A359,Questions!$A$3:$X$333,2,0)&amp;""</f>
        <v>Do you authenticate and verify your ML model's feedback?*</v>
      </c>
      <c r="C359" s="64" t="str">
        <f>VLOOKUP($A359,Questions!$A$3:$X$333,19,0)&amp;""</f>
        <v/>
      </c>
      <c r="D359" s="64" t="str">
        <f>VLOOKUP($A359,Questions!$A$3:$X$333,20,0)&amp;""</f>
        <v/>
      </c>
    </row>
    <row r="360" spans="1:5" ht="43" customHeight="1" x14ac:dyDescent="0.3">
      <c r="A360" s="64" t="s">
        <v>846</v>
      </c>
      <c r="B360" s="64" t="str">
        <f>VLOOKUP($A360,Questions!$A$3:$X$333,2,0)&amp;""</f>
        <v>Is your ML training data vetted, validated, and verified before training the solution's AI model?</v>
      </c>
      <c r="C360" s="64" t="str">
        <f>VLOOKUP($A360,Questions!$A$3:$X$333,19,0)&amp;""</f>
        <v/>
      </c>
      <c r="D360" s="64" t="str">
        <f>VLOOKUP($A360,Questions!$A$3:$X$333,20,0)&amp;""</f>
        <v/>
      </c>
    </row>
    <row r="361" spans="1:5" ht="43" customHeight="1" x14ac:dyDescent="0.3">
      <c r="A361" s="64" t="s">
        <v>849</v>
      </c>
      <c r="B361" s="64" t="str">
        <f>VLOOKUP($A361,Questions!$A$3:$X$333,2,0)&amp;""</f>
        <v>Is your ML training data monitored and audited?</v>
      </c>
      <c r="C361" s="64" t="str">
        <f>VLOOKUP($A361,Questions!$A$3:$X$333,19,0)&amp;""</f>
        <v/>
      </c>
      <c r="D361" s="64" t="str">
        <f>VLOOKUP($A361,Questions!$A$3:$X$333,20,0)&amp;""</f>
        <v/>
      </c>
    </row>
    <row r="362" spans="1:5" ht="43" customHeight="1" x14ac:dyDescent="0.3">
      <c r="A362" s="64" t="s">
        <v>852</v>
      </c>
      <c r="B362" s="64" t="str">
        <f>VLOOKUP($A362,Questions!$A$3:$X$333,2,0)&amp;""</f>
        <v>Have you limited access to your ML training data to only staff with an explicit business need?</v>
      </c>
      <c r="C362" s="64" t="str">
        <f>VLOOKUP($A362,Questions!$A$3:$X$333,19,0)&amp;""</f>
        <v/>
      </c>
      <c r="D362" s="64" t="str">
        <f>VLOOKUP($A362,Questions!$A$3:$X$333,20,0)&amp;""</f>
        <v/>
      </c>
    </row>
    <row r="363" spans="1:5" ht="43" customHeight="1" x14ac:dyDescent="0.3">
      <c r="A363" s="64" t="s">
        <v>854</v>
      </c>
      <c r="B363" s="64" t="str">
        <f>VLOOKUP($A363,Questions!$A$3:$X$333,2,0)&amp;""</f>
        <v>Have you implemented adversarial training or other model defense mechanisms to protect your ML-related features?</v>
      </c>
      <c r="C363" s="64" t="str">
        <f>VLOOKUP($A363,Questions!$A$3:$X$333,19,0)&amp;""</f>
        <v/>
      </c>
      <c r="D363" s="64" t="str">
        <f>VLOOKUP($A363,Questions!$A$3:$X$333,20,0)&amp;""</f>
        <v/>
      </c>
    </row>
    <row r="364" spans="1:5" ht="43" customHeight="1" x14ac:dyDescent="0.3">
      <c r="A364" s="64" t="s">
        <v>856</v>
      </c>
      <c r="B364" s="64" t="str">
        <f>VLOOKUP($A364,Questions!$A$3:$X$333,2,0)&amp;""</f>
        <v>Do you make your ML model transparent through documentation and log inputs and outputs?</v>
      </c>
      <c r="C364" s="64" t="str">
        <f>VLOOKUP($A364,Questions!$A$3:$X$333,19,0)&amp;""</f>
        <v/>
      </c>
      <c r="D364" s="64" t="str">
        <f>VLOOKUP($A364,Questions!$A$3:$X$333,20,0)&amp;""</f>
        <v/>
      </c>
    </row>
    <row r="365" spans="1:5" ht="43" customHeight="1" x14ac:dyDescent="0.25">
      <c r="A365" s="64" t="s">
        <v>859</v>
      </c>
      <c r="B365" s="64" t="str">
        <f>VLOOKUP($A365,Questions!$A$3:$X$333,2,0)&amp;""</f>
        <v>Do you watermark your ML training data?</v>
      </c>
      <c r="C365" s="64" t="str">
        <f>VLOOKUP($A365,Questions!$A$3:$X$333,19,0)&amp;""</f>
        <v/>
      </c>
      <c r="D365" s="64" t="str">
        <f>VLOOKUP($A365,Questions!$A$3:$X$333,20,0)&amp;""</f>
        <v/>
      </c>
      <c r="E365" s="258" t="s">
        <v>1536</v>
      </c>
    </row>
    <row r="366" spans="1:5" ht="43" customHeight="1" x14ac:dyDescent="0.3">
      <c r="A366" s="70" t="str">
        <f>VLOOKUP(LEFT($A367,4),'Auto Responses'!$N$4:$O$38,2,0)&amp;""</f>
        <v xml:space="preserve"> AI Large Language Model (LLM)</v>
      </c>
      <c r="B366" s="70"/>
      <c r="C366" s="63" t="str">
        <f>Questions!$S$2</f>
        <v>Reason for Question</v>
      </c>
      <c r="D366" s="63" t="str">
        <f>Questions!$T$2</f>
        <v>Follow-Up Inquiries/Responses</v>
      </c>
    </row>
    <row r="367" spans="1:5" ht="43" customHeight="1" x14ac:dyDescent="0.3">
      <c r="A367" s="64" t="s">
        <v>861</v>
      </c>
      <c r="B367" s="64" t="str">
        <f>VLOOKUP($A367,Questions!$A$3:$X$333,2,0)&amp;""</f>
        <v>Do you limit your solution's LLM privileges by default?*</v>
      </c>
      <c r="C367" s="64" t="str">
        <f>VLOOKUP($A367,Questions!$A$3:$X$333,19,0)&amp;""</f>
        <v>To be added in a later version</v>
      </c>
      <c r="D367" s="64" t="str">
        <f>VLOOKUP($A367,Questions!$A$3:$X$333,20,0)&amp;""</f>
        <v>To be added in a later version</v>
      </c>
    </row>
    <row r="368" spans="1:5" ht="43" customHeight="1" x14ac:dyDescent="0.3">
      <c r="A368" s="64" t="s">
        <v>862</v>
      </c>
      <c r="B368" s="64" t="str">
        <f>VLOOKUP($A368,Questions!$A$3:$X$333,2,0)&amp;""</f>
        <v>Is your LLM training data vetted, validated, and verified before training the solution's AI model?*</v>
      </c>
      <c r="C368" s="64" t="str">
        <f>VLOOKUP($A368,Questions!$A$3:$X$333,19,0)&amp;""</f>
        <v/>
      </c>
      <c r="D368" s="64" t="str">
        <f>VLOOKUP($A368,Questions!$A$3:$X$333,20,0)&amp;""</f>
        <v/>
      </c>
    </row>
    <row r="369" spans="1:5" ht="43" customHeight="1" x14ac:dyDescent="0.3">
      <c r="A369" s="64" t="s">
        <v>864</v>
      </c>
      <c r="B369" s="64" t="str">
        <f>VLOOKUP($A369,Questions!$A$3:$X$333,2,0)&amp;""</f>
        <v>Do any actions taken by your solution's LLM features or plugins require human intervention?*</v>
      </c>
      <c r="C369" s="64" t="str">
        <f>VLOOKUP($A369,Questions!$A$3:$X$333,19,0)&amp;""</f>
        <v/>
      </c>
      <c r="D369" s="64" t="str">
        <f>VLOOKUP($A369,Questions!$A$3:$X$333,20,0)&amp;""</f>
        <v/>
      </c>
    </row>
    <row r="370" spans="1:5" ht="43" customHeight="1" x14ac:dyDescent="0.3">
      <c r="A370" s="64" t="s">
        <v>866</v>
      </c>
      <c r="B370" s="64" t="str">
        <f>VLOOKUP($A370,Questions!$A$3:$X$333,2,0)&amp;""</f>
        <v>Do you limit multiple LLM model plugins being called as part of a single input?*</v>
      </c>
      <c r="C370" s="64" t="str">
        <f>VLOOKUP($A370,Questions!$A$3:$X$333,19,0)&amp;""</f>
        <v/>
      </c>
      <c r="D370" s="64" t="str">
        <f>VLOOKUP($A370,Questions!$A$3:$X$333,20,0)&amp;""</f>
        <v/>
      </c>
    </row>
    <row r="371" spans="1:5" ht="43" customHeight="1" x14ac:dyDescent="0.3">
      <c r="A371" s="64" t="s">
        <v>868</v>
      </c>
      <c r="B371" s="64" t="str">
        <f>VLOOKUP($A371,Questions!$A$3:$X$333,2,0)&amp;""</f>
        <v>Do you limit your solution's LLM resource use per request, per step, and per action?</v>
      </c>
      <c r="C371" s="64" t="str">
        <f>VLOOKUP($A371,Questions!$A$3:$X$333,19,0)&amp;""</f>
        <v/>
      </c>
      <c r="D371" s="64" t="str">
        <f>VLOOKUP($A371,Questions!$A$3:$X$333,20,0)&amp;""</f>
        <v/>
      </c>
    </row>
    <row r="372" spans="1:5" ht="43" customHeight="1" x14ac:dyDescent="0.25">
      <c r="A372" s="64" t="s">
        <v>870</v>
      </c>
      <c r="B372" s="64" t="str">
        <f>VLOOKUP($A372,Questions!$A$3:$X$333,2,0)&amp;""</f>
        <v>Do you leverage LLM model tuning or other model validation mechanisms?</v>
      </c>
      <c r="C372" s="64" t="str">
        <f>VLOOKUP($A372,Questions!$A$3:$X$333,19,0)&amp;""</f>
        <v/>
      </c>
      <c r="D372" s="64" t="str">
        <f>VLOOKUP($A372,Questions!$A$3:$X$333,20,0)&amp;""</f>
        <v/>
      </c>
      <c r="E372" s="258" t="s">
        <v>1536</v>
      </c>
    </row>
    <row r="373" spans="1:5" x14ac:dyDescent="0.25">
      <c r="A373" s="259" t="s">
        <v>1532</v>
      </c>
    </row>
    <row r="374" spans="1:5" x14ac:dyDescent="0.25"/>
    <row r="375" spans="1:5" x14ac:dyDescent="0.25"/>
    <row r="376" spans="1:5" x14ac:dyDescent="0.25"/>
  </sheetData>
  <phoneticPr fontId="32" type="noConversion"/>
  <hyperlinks>
    <hyperlink ref="A3" r:id="rId1" xr:uid="{41BD2702-361A-4A84-800B-915F790E3241}"/>
    <hyperlink ref="A4" r:id="rId2" xr:uid="{DD63660F-DB27-4595-A272-6F152889FED3}"/>
  </hyperlinks>
  <pageMargins left="0.7" right="0.7" top="0.75" bottom="0.75" header="0.3" footer="0.3"/>
  <pageSetup orientation="portrait" verticalDpi="0" r:id="rId3"/>
  <ignoredErrors>
    <ignoredError sqref="D17 C167 C179:D179 C200 C195 C207:D207 C261 D26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DD12-A215-4F94-9D0E-7008C3D3A25F}">
  <sheetPr>
    <tabColor rgb="FFFF0000"/>
    <outlinePr summaryBelow="0" summaryRight="0"/>
  </sheetPr>
  <dimension ref="A1:X963"/>
  <sheetViews>
    <sheetView zoomScale="80" zoomScaleNormal="80" workbookViewId="0">
      <pane xSplit="2" ySplit="2" topLeftCell="N74" activePane="bottomRight" state="frozen"/>
      <selection pane="topRight" activeCell="C1" sqref="C1"/>
      <selection pane="bottomLeft" activeCell="A2" sqref="A2"/>
      <selection pane="bottomRight" activeCell="R76" sqref="R76"/>
    </sheetView>
  </sheetViews>
  <sheetFormatPr defaultColWidth="8.796875" defaultRowHeight="15.75" customHeight="1" x14ac:dyDescent="0.3"/>
  <cols>
    <col min="1" max="1" width="8.796875" style="8" customWidth="1"/>
    <col min="2" max="2" width="35.6640625" style="8" customWidth="1"/>
    <col min="3" max="3" width="6.19921875" style="8" customWidth="1"/>
    <col min="4" max="4" width="5.86328125" style="8" customWidth="1"/>
    <col min="5" max="5" width="6.6640625" style="8" customWidth="1"/>
    <col min="6" max="6" width="7.19921875" style="8" customWidth="1"/>
    <col min="7" max="7" width="7.265625" style="8" customWidth="1"/>
    <col min="8" max="9" width="7.46484375" style="8" customWidth="1"/>
    <col min="10" max="10" width="6.86328125" style="8" customWidth="1"/>
    <col min="11" max="11" width="15.3984375" style="8" customWidth="1"/>
    <col min="12" max="12" width="12.6640625" style="8" customWidth="1"/>
    <col min="13" max="13" width="8.796875" style="8" customWidth="1"/>
    <col min="14" max="20" width="18.19921875" style="8" customWidth="1"/>
    <col min="21" max="22" width="8.796875" style="8" customWidth="1"/>
    <col min="23" max="23" width="10.86328125" style="8" customWidth="1"/>
    <col min="24" max="24" width="11.19921875" style="8" customWidth="1"/>
    <col min="25" max="16384" width="8.796875" style="8"/>
  </cols>
  <sheetData>
    <row r="1" spans="1:24" ht="15.75" hidden="1" customHeight="1" x14ac:dyDescent="0.3">
      <c r="A1" s="260" t="s">
        <v>1540</v>
      </c>
    </row>
    <row r="2" spans="1:24" ht="28" x14ac:dyDescent="0.3">
      <c r="A2" s="2" t="s">
        <v>0</v>
      </c>
      <c r="B2" s="2" t="s">
        <v>1</v>
      </c>
      <c r="C2" s="3" t="s">
        <v>2</v>
      </c>
      <c r="D2" s="3" t="s">
        <v>3</v>
      </c>
      <c r="E2" s="3" t="s">
        <v>4</v>
      </c>
      <c r="F2" s="3" t="s">
        <v>5</v>
      </c>
      <c r="G2" s="3" t="s">
        <v>6</v>
      </c>
      <c r="H2" s="3" t="s">
        <v>7</v>
      </c>
      <c r="I2" s="3" t="s">
        <v>8</v>
      </c>
      <c r="J2" s="3" t="s">
        <v>9</v>
      </c>
      <c r="K2" s="4" t="s">
        <v>10</v>
      </c>
      <c r="L2" s="3" t="s">
        <v>11</v>
      </c>
      <c r="M2" s="5" t="s">
        <v>12</v>
      </c>
      <c r="N2" s="3" t="s">
        <v>13</v>
      </c>
      <c r="O2" s="3" t="s">
        <v>14</v>
      </c>
      <c r="P2" s="3" t="s">
        <v>15</v>
      </c>
      <c r="Q2" s="3" t="s">
        <v>16</v>
      </c>
      <c r="R2" s="3" t="s">
        <v>1613</v>
      </c>
      <c r="S2" s="6" t="s">
        <v>17</v>
      </c>
      <c r="T2" s="6" t="s">
        <v>929</v>
      </c>
      <c r="U2" s="7" t="s">
        <v>925</v>
      </c>
      <c r="V2" s="7" t="s">
        <v>18</v>
      </c>
      <c r="W2" s="7" t="s">
        <v>19</v>
      </c>
      <c r="X2" s="7" t="s">
        <v>20</v>
      </c>
    </row>
    <row r="3" spans="1:24" ht="14" x14ac:dyDescent="0.3">
      <c r="A3" s="232" t="s">
        <v>21</v>
      </c>
      <c r="B3" s="232" t="s">
        <v>1459</v>
      </c>
      <c r="C3" s="232">
        <v>1</v>
      </c>
      <c r="D3" s="232">
        <v>1</v>
      </c>
      <c r="E3" s="232">
        <v>1</v>
      </c>
      <c r="F3" s="232">
        <v>1</v>
      </c>
      <c r="G3" s="232">
        <v>1</v>
      </c>
      <c r="H3" s="232">
        <v>1</v>
      </c>
      <c r="I3" s="232">
        <v>1</v>
      </c>
      <c r="J3" s="232">
        <v>1</v>
      </c>
      <c r="K3" s="232" t="s">
        <v>22</v>
      </c>
      <c r="L3" s="232" t="s">
        <v>23</v>
      </c>
      <c r="M3" s="232">
        <v>0</v>
      </c>
      <c r="N3" s="232" t="s">
        <v>1032</v>
      </c>
      <c r="O3" s="232" t="s">
        <v>1032</v>
      </c>
      <c r="P3" s="232" t="s">
        <v>1032</v>
      </c>
      <c r="Q3" s="232" t="s">
        <v>1032</v>
      </c>
      <c r="R3" s="232"/>
      <c r="S3" s="232" t="s">
        <v>1032</v>
      </c>
      <c r="T3" s="232" t="s">
        <v>1032</v>
      </c>
      <c r="U3" s="232" t="s">
        <v>1062</v>
      </c>
      <c r="V3" s="232" t="s">
        <v>1032</v>
      </c>
      <c r="W3" s="232" t="s">
        <v>1032</v>
      </c>
      <c r="X3" s="232">
        <f t="shared" ref="X3:X65" si="0">IF($W3="Critical Importance",20,IF($W3="Minor Importance",5,10))</f>
        <v>10</v>
      </c>
    </row>
    <row r="4" spans="1:24" ht="14" x14ac:dyDescent="0.3">
      <c r="A4" s="232" t="s">
        <v>24</v>
      </c>
      <c r="B4" s="232" t="s">
        <v>1279</v>
      </c>
      <c r="C4" s="232">
        <v>1</v>
      </c>
      <c r="D4" s="232">
        <v>1</v>
      </c>
      <c r="E4" s="232">
        <v>1</v>
      </c>
      <c r="F4" s="232">
        <v>1</v>
      </c>
      <c r="G4" s="232">
        <v>1</v>
      </c>
      <c r="H4" s="232">
        <v>1</v>
      </c>
      <c r="I4" s="232">
        <v>1</v>
      </c>
      <c r="J4" s="232">
        <v>1</v>
      </c>
      <c r="K4" s="232" t="s">
        <v>22</v>
      </c>
      <c r="L4" s="232" t="s">
        <v>23</v>
      </c>
      <c r="M4" s="232" t="s">
        <v>1040</v>
      </c>
      <c r="N4" s="232" t="s">
        <v>1032</v>
      </c>
      <c r="O4" s="232" t="s">
        <v>1032</v>
      </c>
      <c r="P4" s="232" t="s">
        <v>1032</v>
      </c>
      <c r="Q4" s="232" t="s">
        <v>1032</v>
      </c>
      <c r="R4" s="232"/>
      <c r="S4" s="232" t="s">
        <v>1032</v>
      </c>
      <c r="T4" s="232" t="s">
        <v>1032</v>
      </c>
      <c r="U4" s="232" t="s">
        <v>1062</v>
      </c>
      <c r="V4" s="232" t="s">
        <v>1032</v>
      </c>
      <c r="W4" s="232" t="s">
        <v>1032</v>
      </c>
      <c r="X4" s="232">
        <f t="shared" si="0"/>
        <v>10</v>
      </c>
    </row>
    <row r="5" spans="1:24" ht="14" x14ac:dyDescent="0.3">
      <c r="A5" s="232" t="s">
        <v>25</v>
      </c>
      <c r="B5" s="232" t="s">
        <v>1280</v>
      </c>
      <c r="C5" s="232">
        <v>1</v>
      </c>
      <c r="D5" s="232">
        <v>1</v>
      </c>
      <c r="E5" s="232">
        <v>1</v>
      </c>
      <c r="F5" s="232">
        <v>1</v>
      </c>
      <c r="G5" s="232">
        <v>1</v>
      </c>
      <c r="H5" s="232">
        <v>1</v>
      </c>
      <c r="I5" s="232">
        <v>1</v>
      </c>
      <c r="J5" s="232">
        <v>1</v>
      </c>
      <c r="K5" s="232" t="s">
        <v>22</v>
      </c>
      <c r="L5" s="232" t="s">
        <v>23</v>
      </c>
      <c r="M5" s="232" t="s">
        <v>1040</v>
      </c>
      <c r="N5" s="232" t="s">
        <v>1032</v>
      </c>
      <c r="O5" s="232" t="s">
        <v>1032</v>
      </c>
      <c r="P5" s="232" t="s">
        <v>1032</v>
      </c>
      <c r="Q5" s="232" t="s">
        <v>1032</v>
      </c>
      <c r="R5" s="232"/>
      <c r="S5" s="232" t="s">
        <v>1032</v>
      </c>
      <c r="T5" s="232" t="s">
        <v>1032</v>
      </c>
      <c r="U5" s="232" t="s">
        <v>1062</v>
      </c>
      <c r="V5" s="232" t="s">
        <v>1032</v>
      </c>
      <c r="W5" s="232" t="s">
        <v>1032</v>
      </c>
      <c r="X5" s="232">
        <f t="shared" si="0"/>
        <v>10</v>
      </c>
    </row>
    <row r="6" spans="1:24" ht="14" x14ac:dyDescent="0.3">
      <c r="A6" s="232" t="s">
        <v>26</v>
      </c>
      <c r="B6" s="232" t="s">
        <v>1460</v>
      </c>
      <c r="C6" s="232">
        <v>1</v>
      </c>
      <c r="D6" s="232">
        <v>1</v>
      </c>
      <c r="E6" s="232">
        <v>0</v>
      </c>
      <c r="F6" s="232">
        <v>0</v>
      </c>
      <c r="G6" s="232">
        <v>0</v>
      </c>
      <c r="H6" s="232">
        <v>0</v>
      </c>
      <c r="I6" s="232">
        <v>0</v>
      </c>
      <c r="J6" s="232">
        <v>0</v>
      </c>
      <c r="K6" s="232" t="s">
        <v>22</v>
      </c>
      <c r="L6" s="232" t="s">
        <v>23</v>
      </c>
      <c r="M6" s="232" t="s">
        <v>1040</v>
      </c>
      <c r="N6" s="232" t="s">
        <v>1032</v>
      </c>
      <c r="O6" s="232" t="s">
        <v>1032</v>
      </c>
      <c r="P6" s="232" t="s">
        <v>1032</v>
      </c>
      <c r="Q6" s="232" t="s">
        <v>1032</v>
      </c>
      <c r="R6" s="232"/>
      <c r="S6" s="232" t="s">
        <v>1032</v>
      </c>
      <c r="T6" s="232" t="s">
        <v>1032</v>
      </c>
      <c r="U6" s="232" t="s">
        <v>1062</v>
      </c>
      <c r="V6" s="232" t="s">
        <v>1032</v>
      </c>
      <c r="W6" s="232" t="s">
        <v>1032</v>
      </c>
      <c r="X6" s="232">
        <f t="shared" si="0"/>
        <v>10</v>
      </c>
    </row>
    <row r="7" spans="1:24" ht="14" x14ac:dyDescent="0.3">
      <c r="A7" s="232" t="s">
        <v>27</v>
      </c>
      <c r="B7" s="232" t="s">
        <v>1461</v>
      </c>
      <c r="C7" s="232">
        <v>1</v>
      </c>
      <c r="D7" s="232">
        <v>1</v>
      </c>
      <c r="E7" s="232">
        <v>0</v>
      </c>
      <c r="F7" s="232">
        <v>0</v>
      </c>
      <c r="G7" s="232">
        <v>0</v>
      </c>
      <c r="H7" s="232">
        <v>0</v>
      </c>
      <c r="I7" s="232">
        <v>0</v>
      </c>
      <c r="J7" s="232">
        <v>0</v>
      </c>
      <c r="K7" s="232" t="s">
        <v>22</v>
      </c>
      <c r="L7" s="232" t="s">
        <v>23</v>
      </c>
      <c r="M7" s="232" t="s">
        <v>1040</v>
      </c>
      <c r="N7" s="232" t="s">
        <v>1032</v>
      </c>
      <c r="O7" s="232" t="s">
        <v>1032</v>
      </c>
      <c r="P7" s="232" t="s">
        <v>1032</v>
      </c>
      <c r="Q7" s="232" t="s">
        <v>1032</v>
      </c>
      <c r="R7" s="232"/>
      <c r="S7" s="232" t="s">
        <v>1032</v>
      </c>
      <c r="T7" s="232" t="s">
        <v>1032</v>
      </c>
      <c r="U7" s="232" t="s">
        <v>1062</v>
      </c>
      <c r="V7" s="232" t="s">
        <v>1032</v>
      </c>
      <c r="W7" s="232" t="s">
        <v>1032</v>
      </c>
      <c r="X7" s="232">
        <f t="shared" si="0"/>
        <v>10</v>
      </c>
    </row>
    <row r="8" spans="1:24" ht="14" x14ac:dyDescent="0.3">
      <c r="A8" s="232" t="s">
        <v>28</v>
      </c>
      <c r="B8" s="232" t="s">
        <v>1462</v>
      </c>
      <c r="C8" s="232">
        <v>1</v>
      </c>
      <c r="D8" s="232">
        <v>1</v>
      </c>
      <c r="E8" s="232">
        <v>0</v>
      </c>
      <c r="F8" s="232">
        <v>0</v>
      </c>
      <c r="G8" s="232">
        <v>0</v>
      </c>
      <c r="H8" s="232">
        <v>0</v>
      </c>
      <c r="I8" s="232">
        <v>0</v>
      </c>
      <c r="J8" s="232">
        <v>0</v>
      </c>
      <c r="K8" s="232" t="s">
        <v>22</v>
      </c>
      <c r="L8" s="232" t="s">
        <v>23</v>
      </c>
      <c r="M8" s="232" t="s">
        <v>1040</v>
      </c>
      <c r="N8" s="232" t="s">
        <v>1032</v>
      </c>
      <c r="O8" s="232" t="s">
        <v>1032</v>
      </c>
      <c r="P8" s="232" t="s">
        <v>1032</v>
      </c>
      <c r="Q8" s="232" t="s">
        <v>1032</v>
      </c>
      <c r="R8" s="232"/>
      <c r="S8" s="232" t="s">
        <v>1032</v>
      </c>
      <c r="T8" s="232" t="s">
        <v>1032</v>
      </c>
      <c r="U8" s="232" t="s">
        <v>1062</v>
      </c>
      <c r="V8" s="232" t="s">
        <v>1032</v>
      </c>
      <c r="W8" s="232" t="s">
        <v>1032</v>
      </c>
      <c r="X8" s="232">
        <f t="shared" si="0"/>
        <v>10</v>
      </c>
    </row>
    <row r="9" spans="1:24" ht="14" x14ac:dyDescent="0.3">
      <c r="A9" s="232" t="s">
        <v>29</v>
      </c>
      <c r="B9" s="232" t="s">
        <v>1463</v>
      </c>
      <c r="C9" s="232">
        <v>1</v>
      </c>
      <c r="D9" s="232">
        <v>1</v>
      </c>
      <c r="E9" s="232">
        <v>0</v>
      </c>
      <c r="F9" s="232">
        <v>0</v>
      </c>
      <c r="G9" s="232">
        <v>0</v>
      </c>
      <c r="H9" s="232">
        <v>0</v>
      </c>
      <c r="I9" s="232">
        <v>0</v>
      </c>
      <c r="J9" s="232">
        <v>0</v>
      </c>
      <c r="K9" s="232" t="s">
        <v>22</v>
      </c>
      <c r="L9" s="232" t="s">
        <v>23</v>
      </c>
      <c r="M9" s="232" t="s">
        <v>1040</v>
      </c>
      <c r="N9" s="232" t="s">
        <v>1032</v>
      </c>
      <c r="O9" s="232" t="s">
        <v>1032</v>
      </c>
      <c r="P9" s="232" t="s">
        <v>1032</v>
      </c>
      <c r="Q9" s="232" t="s">
        <v>1032</v>
      </c>
      <c r="R9" s="232"/>
      <c r="S9" s="232" t="s">
        <v>1032</v>
      </c>
      <c r="T9" s="232" t="s">
        <v>1032</v>
      </c>
      <c r="U9" s="232" t="s">
        <v>1062</v>
      </c>
      <c r="V9" s="232" t="s">
        <v>1032</v>
      </c>
      <c r="W9" s="232" t="s">
        <v>1032</v>
      </c>
      <c r="X9" s="232">
        <f t="shared" si="0"/>
        <v>10</v>
      </c>
    </row>
    <row r="10" spans="1:24" ht="14" x14ac:dyDescent="0.3">
      <c r="A10" s="232" t="s">
        <v>30</v>
      </c>
      <c r="B10" s="232" t="s">
        <v>31</v>
      </c>
      <c r="C10" s="232">
        <v>1</v>
      </c>
      <c r="D10" s="232">
        <v>1</v>
      </c>
      <c r="E10" s="232">
        <v>1</v>
      </c>
      <c r="F10" s="232">
        <v>1</v>
      </c>
      <c r="G10" s="232">
        <v>1</v>
      </c>
      <c r="H10" s="232">
        <v>1</v>
      </c>
      <c r="I10" s="232">
        <v>1</v>
      </c>
      <c r="J10" s="232">
        <v>1</v>
      </c>
      <c r="K10" s="232" t="s">
        <v>22</v>
      </c>
      <c r="L10" s="232" t="s">
        <v>23</v>
      </c>
      <c r="M10" s="232" t="s">
        <v>1032</v>
      </c>
      <c r="N10" s="232" t="s">
        <v>1032</v>
      </c>
      <c r="O10" s="232" t="s">
        <v>1032</v>
      </c>
      <c r="P10" s="232" t="s">
        <v>1032</v>
      </c>
      <c r="Q10" s="232" t="s">
        <v>1032</v>
      </c>
      <c r="R10" s="232"/>
      <c r="S10" s="232" t="s">
        <v>1032</v>
      </c>
      <c r="T10" s="232" t="s">
        <v>1032</v>
      </c>
      <c r="U10" s="232" t="s">
        <v>1062</v>
      </c>
      <c r="V10" s="232" t="s">
        <v>1032</v>
      </c>
      <c r="W10" s="232" t="s">
        <v>1032</v>
      </c>
      <c r="X10" s="232">
        <f t="shared" si="0"/>
        <v>10</v>
      </c>
    </row>
    <row r="11" spans="1:24" ht="42" x14ac:dyDescent="0.3">
      <c r="A11" s="232" t="s">
        <v>32</v>
      </c>
      <c r="B11" s="232" t="s">
        <v>33</v>
      </c>
      <c r="C11" s="232">
        <v>1</v>
      </c>
      <c r="D11" s="232">
        <v>0</v>
      </c>
      <c r="E11" s="232">
        <v>0</v>
      </c>
      <c r="F11" s="232">
        <v>0</v>
      </c>
      <c r="G11" s="232">
        <v>0</v>
      </c>
      <c r="H11" s="232">
        <v>0</v>
      </c>
      <c r="I11" s="232">
        <v>0</v>
      </c>
      <c r="J11" s="232">
        <v>1</v>
      </c>
      <c r="K11" s="232" t="s">
        <v>22</v>
      </c>
      <c r="L11" s="232" t="s">
        <v>23</v>
      </c>
      <c r="M11" s="232" t="s">
        <v>1040</v>
      </c>
      <c r="N11" s="232" t="s">
        <v>1032</v>
      </c>
      <c r="O11" s="232" t="s">
        <v>1032</v>
      </c>
      <c r="P11" s="232" t="s">
        <v>1032</v>
      </c>
      <c r="Q11" s="232" t="s">
        <v>1032</v>
      </c>
      <c r="R11" s="232"/>
      <c r="S11" s="232" t="s">
        <v>1292</v>
      </c>
      <c r="T11" s="232" t="s">
        <v>34</v>
      </c>
      <c r="U11" s="232" t="s">
        <v>1062</v>
      </c>
      <c r="V11" s="232" t="s">
        <v>1032</v>
      </c>
      <c r="W11" s="232" t="s">
        <v>1032</v>
      </c>
      <c r="X11" s="232">
        <f t="shared" si="0"/>
        <v>10</v>
      </c>
    </row>
    <row r="12" spans="1:24" ht="238" x14ac:dyDescent="0.3">
      <c r="A12" s="232" t="s">
        <v>35</v>
      </c>
      <c r="B12" s="232" t="s">
        <v>1114</v>
      </c>
      <c r="C12" s="232">
        <v>1</v>
      </c>
      <c r="D12" s="232">
        <v>0</v>
      </c>
      <c r="E12" s="232">
        <v>0</v>
      </c>
      <c r="F12" s="232">
        <v>0</v>
      </c>
      <c r="G12" s="232">
        <v>0</v>
      </c>
      <c r="H12" s="232">
        <v>0</v>
      </c>
      <c r="I12" s="232">
        <v>0</v>
      </c>
      <c r="J12" s="232">
        <v>1</v>
      </c>
      <c r="K12" s="232"/>
      <c r="L12" s="232" t="s">
        <v>38</v>
      </c>
      <c r="M12" s="232" t="s">
        <v>1040</v>
      </c>
      <c r="N12" s="232" t="s">
        <v>1032</v>
      </c>
      <c r="O12" s="232" t="s">
        <v>1032</v>
      </c>
      <c r="P12" s="232" t="s">
        <v>1115</v>
      </c>
      <c r="Q12" s="232" t="s">
        <v>1116</v>
      </c>
      <c r="R12" s="232"/>
      <c r="S12" s="232" t="s">
        <v>1293</v>
      </c>
      <c r="T12" s="232" t="s">
        <v>1294</v>
      </c>
      <c r="U12" s="232" t="s">
        <v>40</v>
      </c>
      <c r="V12" s="232" t="s">
        <v>1040</v>
      </c>
      <c r="W12" s="232" t="s">
        <v>46</v>
      </c>
      <c r="X12" s="232">
        <f t="shared" si="0"/>
        <v>20</v>
      </c>
    </row>
    <row r="13" spans="1:24" ht="112" x14ac:dyDescent="0.3">
      <c r="A13" s="232" t="s">
        <v>42</v>
      </c>
      <c r="B13" s="232" t="s">
        <v>36</v>
      </c>
      <c r="C13" s="232">
        <v>1</v>
      </c>
      <c r="D13" s="232">
        <v>0</v>
      </c>
      <c r="E13" s="232">
        <v>0</v>
      </c>
      <c r="F13" s="232">
        <v>0</v>
      </c>
      <c r="G13" s="232">
        <v>0</v>
      </c>
      <c r="H13" s="232">
        <v>0</v>
      </c>
      <c r="I13" s="232">
        <v>0</v>
      </c>
      <c r="J13" s="232">
        <v>1</v>
      </c>
      <c r="K13" s="232"/>
      <c r="L13" s="232" t="s">
        <v>1062</v>
      </c>
      <c r="M13" s="232" t="s">
        <v>1040</v>
      </c>
      <c r="N13" s="232" t="s">
        <v>1032</v>
      </c>
      <c r="O13" s="232" t="s">
        <v>39</v>
      </c>
      <c r="P13" s="232" t="s">
        <v>1032</v>
      </c>
      <c r="Q13" s="232" t="s">
        <v>1032</v>
      </c>
      <c r="R13" s="232"/>
      <c r="S13" s="232" t="s">
        <v>1489</v>
      </c>
      <c r="T13" s="232" t="s">
        <v>1295</v>
      </c>
      <c r="U13" s="232" t="s">
        <v>1062</v>
      </c>
      <c r="V13" s="232" t="s">
        <v>1040</v>
      </c>
      <c r="W13" s="232" t="s">
        <v>41</v>
      </c>
      <c r="X13" s="232">
        <f t="shared" si="0"/>
        <v>5</v>
      </c>
    </row>
    <row r="14" spans="1:24" ht="168" x14ac:dyDescent="0.3">
      <c r="A14" s="232" t="s">
        <v>44</v>
      </c>
      <c r="B14" s="232" t="s">
        <v>1225</v>
      </c>
      <c r="C14" s="232">
        <v>1</v>
      </c>
      <c r="D14" s="232">
        <v>0</v>
      </c>
      <c r="E14" s="232">
        <v>0</v>
      </c>
      <c r="F14" s="232">
        <v>0</v>
      </c>
      <c r="G14" s="232">
        <v>0</v>
      </c>
      <c r="H14" s="232">
        <v>0</v>
      </c>
      <c r="I14" s="232">
        <v>0</v>
      </c>
      <c r="J14" s="232">
        <v>1</v>
      </c>
      <c r="K14" s="232"/>
      <c r="L14" s="232" t="s">
        <v>38</v>
      </c>
      <c r="M14" s="232" t="s">
        <v>1040</v>
      </c>
      <c r="N14" s="232" t="s">
        <v>1032</v>
      </c>
      <c r="O14" s="232" t="s">
        <v>1032</v>
      </c>
      <c r="P14" s="232" t="s">
        <v>43</v>
      </c>
      <c r="Q14" s="232" t="s">
        <v>1032</v>
      </c>
      <c r="R14" s="232"/>
      <c r="S14" s="232" t="s">
        <v>1296</v>
      </c>
      <c r="T14" s="232" t="s">
        <v>1297</v>
      </c>
      <c r="U14" s="232" t="s">
        <v>40</v>
      </c>
      <c r="V14" s="232" t="s">
        <v>1040</v>
      </c>
      <c r="W14" s="232" t="s">
        <v>41</v>
      </c>
      <c r="X14" s="232">
        <f t="shared" si="0"/>
        <v>5</v>
      </c>
    </row>
    <row r="15" spans="1:24" ht="224" x14ac:dyDescent="0.3">
      <c r="A15" s="232" t="s">
        <v>45</v>
      </c>
      <c r="B15" s="232" t="s">
        <v>1117</v>
      </c>
      <c r="C15" s="232">
        <v>1</v>
      </c>
      <c r="D15" s="232">
        <v>0</v>
      </c>
      <c r="E15" s="232">
        <v>0</v>
      </c>
      <c r="F15" s="232">
        <v>0</v>
      </c>
      <c r="G15" s="232">
        <v>0</v>
      </c>
      <c r="H15" s="232">
        <v>0</v>
      </c>
      <c r="I15" s="232">
        <v>0</v>
      </c>
      <c r="J15" s="232">
        <v>1</v>
      </c>
      <c r="K15" s="232"/>
      <c r="L15" s="232" t="s">
        <v>38</v>
      </c>
      <c r="M15" s="232" t="s">
        <v>1040</v>
      </c>
      <c r="N15" s="232" t="s">
        <v>1032</v>
      </c>
      <c r="O15" s="232" t="s">
        <v>1032</v>
      </c>
      <c r="P15" s="232" t="s">
        <v>1118</v>
      </c>
      <c r="Q15" s="232" t="s">
        <v>1119</v>
      </c>
      <c r="R15" s="232"/>
      <c r="S15" s="232" t="s">
        <v>1488</v>
      </c>
      <c r="T15" s="232" t="s">
        <v>1464</v>
      </c>
      <c r="U15" s="232" t="s">
        <v>40</v>
      </c>
      <c r="V15" s="232" t="s">
        <v>1040</v>
      </c>
      <c r="W15" s="232" t="s">
        <v>41</v>
      </c>
      <c r="X15" s="232">
        <f t="shared" si="0"/>
        <v>5</v>
      </c>
    </row>
    <row r="16" spans="1:24" ht="196" x14ac:dyDescent="0.3">
      <c r="A16" s="232" t="s">
        <v>47</v>
      </c>
      <c r="B16" s="232" t="s">
        <v>1120</v>
      </c>
      <c r="C16" s="232">
        <v>1</v>
      </c>
      <c r="D16" s="232">
        <v>0</v>
      </c>
      <c r="E16" s="232">
        <v>0</v>
      </c>
      <c r="F16" s="232">
        <v>0</v>
      </c>
      <c r="G16" s="232">
        <v>0</v>
      </c>
      <c r="H16" s="232">
        <v>0</v>
      </c>
      <c r="I16" s="232">
        <v>0</v>
      </c>
      <c r="J16" s="232">
        <v>0</v>
      </c>
      <c r="K16" s="232"/>
      <c r="L16" s="232" t="s">
        <v>23</v>
      </c>
      <c r="M16" s="232">
        <v>0</v>
      </c>
      <c r="N16" s="232"/>
      <c r="O16" s="232" t="s">
        <v>1226</v>
      </c>
      <c r="P16" s="232"/>
      <c r="Q16" s="232"/>
      <c r="R16" s="232"/>
      <c r="S16" s="232" t="s">
        <v>1298</v>
      </c>
      <c r="T16" s="232" t="s">
        <v>1299</v>
      </c>
      <c r="U16" s="232" t="s">
        <v>1062</v>
      </c>
      <c r="V16" s="232">
        <v>0</v>
      </c>
      <c r="W16" s="232" t="s">
        <v>41</v>
      </c>
      <c r="X16" s="232">
        <f t="shared" si="0"/>
        <v>5</v>
      </c>
    </row>
    <row r="17" spans="1:24" ht="42" x14ac:dyDescent="0.3">
      <c r="A17" s="232" t="s">
        <v>48</v>
      </c>
      <c r="B17" s="326" t="s">
        <v>1608</v>
      </c>
      <c r="C17" s="232">
        <v>1</v>
      </c>
      <c r="D17" s="232">
        <v>0</v>
      </c>
      <c r="E17" s="232">
        <v>1</v>
      </c>
      <c r="F17" s="232">
        <v>1</v>
      </c>
      <c r="G17" s="232">
        <v>0</v>
      </c>
      <c r="H17" s="232">
        <v>0</v>
      </c>
      <c r="I17" s="232">
        <v>0</v>
      </c>
      <c r="J17" s="232">
        <v>0</v>
      </c>
      <c r="K17" s="232" t="s">
        <v>22</v>
      </c>
      <c r="L17" s="232" t="s">
        <v>23</v>
      </c>
      <c r="M17" s="232" t="s">
        <v>1032</v>
      </c>
      <c r="N17" s="232" t="s">
        <v>1032</v>
      </c>
      <c r="O17" s="232" t="s">
        <v>999</v>
      </c>
      <c r="P17" s="232" t="s">
        <v>49</v>
      </c>
      <c r="Q17" s="232" t="s">
        <v>50</v>
      </c>
      <c r="R17" s="232"/>
      <c r="S17" s="232" t="s">
        <v>1032</v>
      </c>
      <c r="T17" s="232" t="s">
        <v>1032</v>
      </c>
      <c r="U17" s="232" t="s">
        <v>1062</v>
      </c>
      <c r="V17" s="232" t="s">
        <v>1032</v>
      </c>
      <c r="W17" s="232" t="s">
        <v>1032</v>
      </c>
      <c r="X17" s="232">
        <f t="shared" si="0"/>
        <v>10</v>
      </c>
    </row>
    <row r="18" spans="1:24" ht="70" x14ac:dyDescent="0.3">
      <c r="A18" s="232" t="s">
        <v>51</v>
      </c>
      <c r="B18" s="232" t="s">
        <v>1490</v>
      </c>
      <c r="C18" s="232">
        <v>1</v>
      </c>
      <c r="D18" s="232">
        <v>0</v>
      </c>
      <c r="E18" s="232">
        <v>0</v>
      </c>
      <c r="F18" s="232">
        <v>0</v>
      </c>
      <c r="G18" s="232">
        <v>1</v>
      </c>
      <c r="H18" s="232">
        <v>0</v>
      </c>
      <c r="I18" s="232">
        <v>0</v>
      </c>
      <c r="J18" s="232">
        <v>0</v>
      </c>
      <c r="K18" s="232" t="s">
        <v>22</v>
      </c>
      <c r="L18" s="232" t="s">
        <v>23</v>
      </c>
      <c r="M18" s="232" t="s">
        <v>1032</v>
      </c>
      <c r="N18" s="232" t="s">
        <v>1032</v>
      </c>
      <c r="O18" s="232" t="s">
        <v>1479</v>
      </c>
      <c r="P18" s="232" t="s">
        <v>52</v>
      </c>
      <c r="Q18" s="232" t="s">
        <v>53</v>
      </c>
      <c r="R18" s="232"/>
      <c r="S18" s="232" t="s">
        <v>1032</v>
      </c>
      <c r="T18" s="232" t="s">
        <v>1032</v>
      </c>
      <c r="U18" s="232" t="s">
        <v>1062</v>
      </c>
      <c r="V18" s="232" t="s">
        <v>1032</v>
      </c>
      <c r="W18" s="232" t="s">
        <v>1032</v>
      </c>
      <c r="X18" s="232">
        <f t="shared" si="0"/>
        <v>10</v>
      </c>
    </row>
    <row r="19" spans="1:24" ht="42" x14ac:dyDescent="0.3">
      <c r="A19" s="232" t="s">
        <v>54</v>
      </c>
      <c r="B19" s="232" t="s">
        <v>55</v>
      </c>
      <c r="C19" s="232">
        <v>1</v>
      </c>
      <c r="D19" s="232">
        <v>0</v>
      </c>
      <c r="E19" s="232">
        <v>0</v>
      </c>
      <c r="F19" s="232">
        <v>0</v>
      </c>
      <c r="G19" s="232">
        <v>0</v>
      </c>
      <c r="H19" s="232">
        <v>1</v>
      </c>
      <c r="I19" s="232">
        <v>0</v>
      </c>
      <c r="J19" s="232">
        <v>0</v>
      </c>
      <c r="K19" s="232" t="s">
        <v>22</v>
      </c>
      <c r="L19" s="232" t="s">
        <v>23</v>
      </c>
      <c r="M19" s="232" t="s">
        <v>1032</v>
      </c>
      <c r="N19" s="232" t="s">
        <v>1032</v>
      </c>
      <c r="O19" s="232" t="s">
        <v>1032</v>
      </c>
      <c r="P19" s="232" t="s">
        <v>56</v>
      </c>
      <c r="Q19" s="232" t="s">
        <v>57</v>
      </c>
      <c r="R19" s="232"/>
      <c r="S19" s="232" t="s">
        <v>1032</v>
      </c>
      <c r="T19" s="232" t="s">
        <v>1032</v>
      </c>
      <c r="U19" s="232" t="s">
        <v>1062</v>
      </c>
      <c r="V19" s="232" t="s">
        <v>1032</v>
      </c>
      <c r="W19" s="232" t="s">
        <v>1032</v>
      </c>
      <c r="X19" s="232">
        <f t="shared" si="0"/>
        <v>10</v>
      </c>
    </row>
    <row r="20" spans="1:24" ht="42" x14ac:dyDescent="0.3">
      <c r="A20" s="232" t="s">
        <v>58</v>
      </c>
      <c r="B20" s="232" t="s">
        <v>1227</v>
      </c>
      <c r="C20" s="232">
        <v>1</v>
      </c>
      <c r="D20" s="232">
        <v>0</v>
      </c>
      <c r="E20" s="232">
        <v>0</v>
      </c>
      <c r="F20" s="232">
        <v>0</v>
      </c>
      <c r="G20" s="232">
        <v>0</v>
      </c>
      <c r="H20" s="232">
        <v>0</v>
      </c>
      <c r="I20" s="232">
        <v>1</v>
      </c>
      <c r="J20" s="232">
        <v>1</v>
      </c>
      <c r="K20" s="232" t="s">
        <v>22</v>
      </c>
      <c r="L20" s="232" t="s">
        <v>23</v>
      </c>
      <c r="M20" s="232" t="s">
        <v>1032</v>
      </c>
      <c r="N20" s="232" t="s">
        <v>1032</v>
      </c>
      <c r="O20" s="232" t="s">
        <v>1032</v>
      </c>
      <c r="P20" s="232" t="s">
        <v>59</v>
      </c>
      <c r="Q20" s="232" t="s">
        <v>60</v>
      </c>
      <c r="R20" s="232"/>
      <c r="S20" s="232" t="s">
        <v>1032</v>
      </c>
      <c r="T20" s="232" t="s">
        <v>1032</v>
      </c>
      <c r="U20" s="232" t="s">
        <v>1062</v>
      </c>
      <c r="V20" s="232" t="s">
        <v>1032</v>
      </c>
      <c r="W20" s="232" t="s">
        <v>1032</v>
      </c>
      <c r="X20" s="232">
        <f t="shared" si="0"/>
        <v>10</v>
      </c>
    </row>
    <row r="21" spans="1:24" ht="70" x14ac:dyDescent="0.3">
      <c r="A21" s="232" t="s">
        <v>61</v>
      </c>
      <c r="B21" s="232" t="s">
        <v>1228</v>
      </c>
      <c r="C21" s="232">
        <v>1</v>
      </c>
      <c r="D21" s="232">
        <v>0</v>
      </c>
      <c r="E21" s="232">
        <v>0</v>
      </c>
      <c r="F21" s="232">
        <v>0</v>
      </c>
      <c r="G21" s="232">
        <v>0</v>
      </c>
      <c r="H21" s="232">
        <v>1</v>
      </c>
      <c r="I21" s="232">
        <v>0</v>
      </c>
      <c r="J21" s="232">
        <v>1</v>
      </c>
      <c r="K21" s="232" t="s">
        <v>22</v>
      </c>
      <c r="L21" s="232" t="s">
        <v>23</v>
      </c>
      <c r="M21" s="232" t="s">
        <v>1040</v>
      </c>
      <c r="N21" s="232" t="s">
        <v>1032</v>
      </c>
      <c r="O21" s="232" t="s">
        <v>1229</v>
      </c>
      <c r="P21" s="232" t="s">
        <v>62</v>
      </c>
      <c r="Q21" s="232" t="s">
        <v>63</v>
      </c>
      <c r="R21" s="232"/>
      <c r="S21" s="232"/>
      <c r="T21" s="232"/>
      <c r="U21" s="232" t="s">
        <v>1062</v>
      </c>
      <c r="V21" s="232"/>
      <c r="W21" s="232"/>
      <c r="X21" s="232">
        <f t="shared" si="0"/>
        <v>10</v>
      </c>
    </row>
    <row r="22" spans="1:24" ht="56" x14ac:dyDescent="0.3">
      <c r="A22" s="232" t="s">
        <v>64</v>
      </c>
      <c r="B22" s="232" t="s">
        <v>1491</v>
      </c>
      <c r="C22" s="232">
        <v>1</v>
      </c>
      <c r="D22" s="232">
        <v>0</v>
      </c>
      <c r="E22" s="232">
        <v>0</v>
      </c>
      <c r="F22" s="232">
        <v>0</v>
      </c>
      <c r="G22" s="232">
        <v>0</v>
      </c>
      <c r="H22" s="232">
        <v>1</v>
      </c>
      <c r="I22" s="232">
        <v>0</v>
      </c>
      <c r="J22" s="232">
        <v>1</v>
      </c>
      <c r="K22" s="232" t="s">
        <v>22</v>
      </c>
      <c r="L22" s="232" t="s">
        <v>23</v>
      </c>
      <c r="M22" s="232" t="s">
        <v>1040</v>
      </c>
      <c r="N22" s="232" t="s">
        <v>1032</v>
      </c>
      <c r="O22" s="232" t="s">
        <v>1230</v>
      </c>
      <c r="P22" s="232" t="s">
        <v>65</v>
      </c>
      <c r="Q22" s="232" t="s">
        <v>66</v>
      </c>
      <c r="R22" s="232"/>
      <c r="S22" s="232"/>
      <c r="T22" s="232"/>
      <c r="U22" s="232" t="s">
        <v>1062</v>
      </c>
      <c r="V22" s="232"/>
      <c r="W22" s="232"/>
      <c r="X22" s="232">
        <f t="shared" si="0"/>
        <v>10</v>
      </c>
    </row>
    <row r="23" spans="1:24" ht="93.75" customHeight="1" x14ac:dyDescent="0.3">
      <c r="A23" s="232" t="s">
        <v>67</v>
      </c>
      <c r="B23" s="232" t="s">
        <v>1231</v>
      </c>
      <c r="C23" s="232">
        <v>1</v>
      </c>
      <c r="D23" s="232">
        <v>0</v>
      </c>
      <c r="E23" s="232">
        <v>0</v>
      </c>
      <c r="F23" s="232">
        <v>0</v>
      </c>
      <c r="G23" s="232">
        <v>0</v>
      </c>
      <c r="H23" s="232">
        <v>1</v>
      </c>
      <c r="I23" s="232">
        <v>0</v>
      </c>
      <c r="J23" s="232">
        <v>0</v>
      </c>
      <c r="K23" s="232" t="s">
        <v>22</v>
      </c>
      <c r="L23" s="232" t="s">
        <v>23</v>
      </c>
      <c r="M23" s="232" t="s">
        <v>1032</v>
      </c>
      <c r="N23" s="232" t="s">
        <v>1032</v>
      </c>
      <c r="O23" s="232" t="s">
        <v>1032</v>
      </c>
      <c r="P23" s="234" t="s">
        <v>68</v>
      </c>
      <c r="Q23" s="234" t="s">
        <v>69</v>
      </c>
      <c r="R23" s="234"/>
      <c r="S23" s="232" t="s">
        <v>1032</v>
      </c>
      <c r="T23" s="232" t="s">
        <v>1032</v>
      </c>
      <c r="U23" s="232" t="s">
        <v>1062</v>
      </c>
      <c r="V23" s="232" t="s">
        <v>1032</v>
      </c>
      <c r="W23" s="232" t="s">
        <v>1032</v>
      </c>
      <c r="X23" s="232">
        <f t="shared" si="0"/>
        <v>10</v>
      </c>
    </row>
    <row r="24" spans="1:24" ht="81.75" customHeight="1" x14ac:dyDescent="0.3">
      <c r="A24" s="232" t="s">
        <v>1025</v>
      </c>
      <c r="B24" s="232" t="s">
        <v>1548</v>
      </c>
      <c r="C24" s="232">
        <v>1</v>
      </c>
      <c r="D24" s="232">
        <v>0</v>
      </c>
      <c r="E24" s="232">
        <v>0</v>
      </c>
      <c r="F24" s="232">
        <v>0</v>
      </c>
      <c r="G24" s="232">
        <v>0</v>
      </c>
      <c r="H24" s="232">
        <v>0</v>
      </c>
      <c r="I24" s="232">
        <v>0</v>
      </c>
      <c r="J24" s="232">
        <v>1</v>
      </c>
      <c r="K24" s="232" t="s">
        <v>22</v>
      </c>
      <c r="L24" s="232" t="s">
        <v>23</v>
      </c>
      <c r="M24" s="232"/>
      <c r="N24" s="232"/>
      <c r="O24" s="235" t="s">
        <v>1026</v>
      </c>
      <c r="P24" s="236" t="s">
        <v>1027</v>
      </c>
      <c r="Q24" s="236" t="s">
        <v>1028</v>
      </c>
      <c r="R24" s="9"/>
      <c r="S24" s="237"/>
      <c r="T24" s="232"/>
      <c r="U24" s="232" t="s">
        <v>1062</v>
      </c>
      <c r="V24" s="232"/>
      <c r="W24" s="232"/>
      <c r="X24" s="232">
        <f t="shared" si="0"/>
        <v>10</v>
      </c>
    </row>
    <row r="25" spans="1:24" ht="42" x14ac:dyDescent="0.3">
      <c r="A25" s="232" t="s">
        <v>70</v>
      </c>
      <c r="B25" s="232" t="s">
        <v>1492</v>
      </c>
      <c r="C25" s="232">
        <v>0</v>
      </c>
      <c r="D25" s="232">
        <v>1</v>
      </c>
      <c r="E25" s="232">
        <v>0</v>
      </c>
      <c r="F25" s="232">
        <v>0</v>
      </c>
      <c r="G25" s="232">
        <v>0</v>
      </c>
      <c r="H25" s="232">
        <v>0</v>
      </c>
      <c r="I25" s="232">
        <v>0</v>
      </c>
      <c r="J25" s="232">
        <v>1</v>
      </c>
      <c r="K25" s="232"/>
      <c r="L25" s="232" t="s">
        <v>131</v>
      </c>
      <c r="M25" s="232" t="s">
        <v>1032</v>
      </c>
      <c r="N25" s="232" t="s">
        <v>1032</v>
      </c>
      <c r="O25" s="232" t="s">
        <v>1032</v>
      </c>
      <c r="P25" s="238" t="s">
        <v>1032</v>
      </c>
      <c r="Q25" s="238" t="s">
        <v>1032</v>
      </c>
      <c r="R25" s="238"/>
      <c r="S25" s="232" t="s">
        <v>1032</v>
      </c>
      <c r="T25" s="232" t="s">
        <v>1032</v>
      </c>
      <c r="U25" s="232" t="s">
        <v>40</v>
      </c>
      <c r="V25" s="232" t="s">
        <v>1032</v>
      </c>
      <c r="W25" s="232" t="s">
        <v>46</v>
      </c>
      <c r="X25" s="232">
        <f t="shared" si="0"/>
        <v>20</v>
      </c>
    </row>
    <row r="26" spans="1:24" ht="42" x14ac:dyDescent="0.3">
      <c r="A26" s="232" t="s">
        <v>76</v>
      </c>
      <c r="B26" s="232" t="s">
        <v>1121</v>
      </c>
      <c r="C26" s="232">
        <v>0</v>
      </c>
      <c r="D26" s="232">
        <v>1</v>
      </c>
      <c r="E26" s="232">
        <v>0</v>
      </c>
      <c r="F26" s="232">
        <v>0</v>
      </c>
      <c r="G26" s="232">
        <v>0</v>
      </c>
      <c r="H26" s="232">
        <v>0</v>
      </c>
      <c r="I26" s="232">
        <v>0</v>
      </c>
      <c r="J26" s="232">
        <v>1</v>
      </c>
      <c r="K26" s="232"/>
      <c r="L26" s="232" t="s">
        <v>131</v>
      </c>
      <c r="M26" s="232" t="s">
        <v>1032</v>
      </c>
      <c r="N26" s="232" t="s">
        <v>1032</v>
      </c>
      <c r="O26" s="232" t="s">
        <v>1032</v>
      </c>
      <c r="P26" s="232" t="s">
        <v>1032</v>
      </c>
      <c r="Q26" s="232" t="s">
        <v>1032</v>
      </c>
      <c r="R26" s="232"/>
      <c r="S26" s="232" t="s">
        <v>1032</v>
      </c>
      <c r="T26" s="232" t="s">
        <v>1032</v>
      </c>
      <c r="U26" s="232" t="s">
        <v>40</v>
      </c>
      <c r="V26" s="232" t="s">
        <v>1032</v>
      </c>
      <c r="W26" s="232" t="s">
        <v>46</v>
      </c>
      <c r="X26" s="232">
        <f t="shared" si="0"/>
        <v>20</v>
      </c>
    </row>
    <row r="27" spans="1:24" ht="126" x14ac:dyDescent="0.3">
      <c r="A27" s="232" t="s">
        <v>77</v>
      </c>
      <c r="B27" s="232" t="s">
        <v>71</v>
      </c>
      <c r="C27" s="232">
        <v>0</v>
      </c>
      <c r="D27" s="232">
        <v>1</v>
      </c>
      <c r="E27" s="232">
        <v>0</v>
      </c>
      <c r="F27" s="232">
        <v>0</v>
      </c>
      <c r="G27" s="232">
        <v>0</v>
      </c>
      <c r="H27" s="232">
        <v>0</v>
      </c>
      <c r="I27" s="232">
        <v>0</v>
      </c>
      <c r="J27" s="232">
        <v>1</v>
      </c>
      <c r="K27" s="232"/>
      <c r="L27" s="232" t="s">
        <v>131</v>
      </c>
      <c r="M27" s="232" t="s">
        <v>72</v>
      </c>
      <c r="N27" s="232" t="s">
        <v>1032</v>
      </c>
      <c r="O27" s="232" t="s">
        <v>1032</v>
      </c>
      <c r="P27" s="232" t="s">
        <v>73</v>
      </c>
      <c r="Q27" s="232" t="s">
        <v>1122</v>
      </c>
      <c r="R27" s="232"/>
      <c r="S27" s="232" t="s">
        <v>1493</v>
      </c>
      <c r="T27" s="232" t="s">
        <v>74</v>
      </c>
      <c r="U27" s="232" t="s">
        <v>40</v>
      </c>
      <c r="V27" s="232" t="s">
        <v>1040</v>
      </c>
      <c r="W27" s="232" t="s">
        <v>75</v>
      </c>
      <c r="X27" s="232">
        <f t="shared" si="0"/>
        <v>10</v>
      </c>
    </row>
    <row r="28" spans="1:24" ht="224" x14ac:dyDescent="0.3">
      <c r="A28" s="232" t="s">
        <v>80</v>
      </c>
      <c r="B28" s="232" t="s">
        <v>1123</v>
      </c>
      <c r="C28" s="232">
        <v>0</v>
      </c>
      <c r="D28" s="232">
        <v>1</v>
      </c>
      <c r="E28" s="232">
        <v>0</v>
      </c>
      <c r="F28" s="232">
        <v>0</v>
      </c>
      <c r="G28" s="232">
        <v>0</v>
      </c>
      <c r="H28" s="232">
        <v>0</v>
      </c>
      <c r="I28" s="232">
        <v>0</v>
      </c>
      <c r="J28" s="232">
        <v>1</v>
      </c>
      <c r="K28" s="232"/>
      <c r="L28" s="232" t="s">
        <v>131</v>
      </c>
      <c r="M28" s="232" t="s">
        <v>72</v>
      </c>
      <c r="N28" s="232" t="s">
        <v>1032</v>
      </c>
      <c r="O28" s="232" t="s">
        <v>1032</v>
      </c>
      <c r="P28" s="232" t="s">
        <v>78</v>
      </c>
      <c r="Q28" s="232" t="s">
        <v>79</v>
      </c>
      <c r="R28" s="232"/>
      <c r="S28" s="232" t="s">
        <v>1300</v>
      </c>
      <c r="T28" s="232" t="s">
        <v>1301</v>
      </c>
      <c r="U28" s="232" t="s">
        <v>40</v>
      </c>
      <c r="V28" s="232" t="s">
        <v>1040</v>
      </c>
      <c r="W28" s="232" t="s">
        <v>75</v>
      </c>
      <c r="X28" s="232">
        <f t="shared" si="0"/>
        <v>10</v>
      </c>
    </row>
    <row r="29" spans="1:24" ht="182" x14ac:dyDescent="0.3">
      <c r="A29" s="232" t="s">
        <v>84</v>
      </c>
      <c r="B29" s="232" t="s">
        <v>81</v>
      </c>
      <c r="C29" s="232">
        <v>0</v>
      </c>
      <c r="D29" s="232">
        <v>1</v>
      </c>
      <c r="E29" s="232">
        <v>0</v>
      </c>
      <c r="F29" s="232">
        <v>0</v>
      </c>
      <c r="G29" s="232">
        <v>0</v>
      </c>
      <c r="H29" s="232">
        <v>0</v>
      </c>
      <c r="I29" s="232">
        <v>0</v>
      </c>
      <c r="J29" s="232">
        <v>1</v>
      </c>
      <c r="K29" s="232"/>
      <c r="L29" s="232" t="s">
        <v>131</v>
      </c>
      <c r="M29" s="232" t="s">
        <v>72</v>
      </c>
      <c r="N29" s="232" t="s">
        <v>1032</v>
      </c>
      <c r="O29" s="232" t="s">
        <v>1032</v>
      </c>
      <c r="P29" s="232" t="s">
        <v>82</v>
      </c>
      <c r="Q29" s="232" t="s">
        <v>83</v>
      </c>
      <c r="R29" s="232"/>
      <c r="S29" s="232" t="s">
        <v>1302</v>
      </c>
      <c r="T29" s="232" t="s">
        <v>1303</v>
      </c>
      <c r="U29" s="232" t="s">
        <v>40</v>
      </c>
      <c r="V29" s="232" t="s">
        <v>1040</v>
      </c>
      <c r="W29" s="232" t="s">
        <v>75</v>
      </c>
      <c r="X29" s="232">
        <f t="shared" si="0"/>
        <v>10</v>
      </c>
    </row>
    <row r="30" spans="1:24" ht="182" x14ac:dyDescent="0.3">
      <c r="A30" s="232" t="s">
        <v>88</v>
      </c>
      <c r="B30" s="232" t="s">
        <v>85</v>
      </c>
      <c r="C30" s="232">
        <v>0</v>
      </c>
      <c r="D30" s="232">
        <v>1</v>
      </c>
      <c r="E30" s="232">
        <v>0</v>
      </c>
      <c r="F30" s="232">
        <v>0</v>
      </c>
      <c r="G30" s="232">
        <v>0</v>
      </c>
      <c r="H30" s="232">
        <v>0</v>
      </c>
      <c r="I30" s="232">
        <v>0</v>
      </c>
      <c r="J30" s="232">
        <v>1</v>
      </c>
      <c r="K30" s="232"/>
      <c r="L30" s="232" t="s">
        <v>131</v>
      </c>
      <c r="M30" s="232" t="s">
        <v>72</v>
      </c>
      <c r="N30" s="232" t="s">
        <v>1032</v>
      </c>
      <c r="O30" s="232" t="s">
        <v>1032</v>
      </c>
      <c r="P30" s="232" t="s">
        <v>86</v>
      </c>
      <c r="Q30" s="232" t="s">
        <v>87</v>
      </c>
      <c r="R30" s="232"/>
      <c r="S30" s="232" t="s">
        <v>1304</v>
      </c>
      <c r="T30" s="232" t="s">
        <v>1303</v>
      </c>
      <c r="U30" s="232" t="s">
        <v>40</v>
      </c>
      <c r="V30" s="232" t="s">
        <v>1040</v>
      </c>
      <c r="W30" s="232" t="s">
        <v>75</v>
      </c>
      <c r="X30" s="232">
        <f t="shared" si="0"/>
        <v>10</v>
      </c>
    </row>
    <row r="31" spans="1:24" ht="224" x14ac:dyDescent="0.3">
      <c r="A31" s="232" t="s">
        <v>92</v>
      </c>
      <c r="B31" s="232" t="s">
        <v>89</v>
      </c>
      <c r="C31" s="232">
        <v>0</v>
      </c>
      <c r="D31" s="232">
        <v>1</v>
      </c>
      <c r="E31" s="232">
        <v>0</v>
      </c>
      <c r="F31" s="232">
        <v>0</v>
      </c>
      <c r="G31" s="232">
        <v>0</v>
      </c>
      <c r="H31" s="232">
        <v>0</v>
      </c>
      <c r="I31" s="232">
        <v>0</v>
      </c>
      <c r="J31" s="232">
        <v>1</v>
      </c>
      <c r="K31" s="232"/>
      <c r="L31" s="232" t="s">
        <v>131</v>
      </c>
      <c r="M31" s="232" t="s">
        <v>72</v>
      </c>
      <c r="N31" s="232" t="s">
        <v>1032</v>
      </c>
      <c r="O31" s="232" t="s">
        <v>1032</v>
      </c>
      <c r="P31" s="232" t="s">
        <v>90</v>
      </c>
      <c r="Q31" s="232" t="s">
        <v>91</v>
      </c>
      <c r="R31" s="232"/>
      <c r="S31" s="232" t="s">
        <v>1305</v>
      </c>
      <c r="T31" s="232" t="s">
        <v>1306</v>
      </c>
      <c r="U31" s="232" t="s">
        <v>40</v>
      </c>
      <c r="V31" s="232" t="s">
        <v>1040</v>
      </c>
      <c r="W31" s="232" t="s">
        <v>75</v>
      </c>
      <c r="X31" s="232">
        <f t="shared" si="0"/>
        <v>10</v>
      </c>
    </row>
    <row r="32" spans="1:24" ht="56" x14ac:dyDescent="0.3">
      <c r="A32" s="233" t="s">
        <v>93</v>
      </c>
      <c r="B32" s="232" t="s">
        <v>1465</v>
      </c>
      <c r="C32" s="232">
        <v>0</v>
      </c>
      <c r="D32" s="232">
        <v>0</v>
      </c>
      <c r="E32" s="232">
        <v>0</v>
      </c>
      <c r="F32" s="232">
        <v>0</v>
      </c>
      <c r="G32" s="232">
        <v>1</v>
      </c>
      <c r="H32" s="232">
        <v>0</v>
      </c>
      <c r="I32" s="232">
        <v>0</v>
      </c>
      <c r="J32" s="232">
        <v>0</v>
      </c>
      <c r="K32" s="232" t="s">
        <v>22</v>
      </c>
      <c r="L32" s="232" t="s">
        <v>23</v>
      </c>
      <c r="M32" s="232" t="s">
        <v>1040</v>
      </c>
      <c r="N32" s="232" t="s">
        <v>1307</v>
      </c>
      <c r="O32" s="232" t="s">
        <v>1032</v>
      </c>
      <c r="P32" s="232" t="s">
        <v>1032</v>
      </c>
      <c r="Q32" s="232" t="s">
        <v>1032</v>
      </c>
      <c r="R32" s="232"/>
      <c r="S32" s="232" t="s">
        <v>1032</v>
      </c>
      <c r="T32" s="232" t="s">
        <v>1032</v>
      </c>
      <c r="U32" s="232" t="s">
        <v>1062</v>
      </c>
      <c r="V32" s="232" t="s">
        <v>1032</v>
      </c>
      <c r="W32" s="232" t="s">
        <v>1032</v>
      </c>
      <c r="X32" s="232">
        <f t="shared" si="0"/>
        <v>10</v>
      </c>
    </row>
    <row r="33" spans="1:24" ht="56" x14ac:dyDescent="0.3">
      <c r="A33" s="233" t="s">
        <v>94</v>
      </c>
      <c r="B33" s="232" t="s">
        <v>1466</v>
      </c>
      <c r="C33" s="232">
        <v>0</v>
      </c>
      <c r="D33" s="232">
        <v>0</v>
      </c>
      <c r="E33" s="232">
        <v>0</v>
      </c>
      <c r="F33" s="232">
        <v>0</v>
      </c>
      <c r="G33" s="232">
        <v>1</v>
      </c>
      <c r="H33" s="232">
        <v>0</v>
      </c>
      <c r="I33" s="232">
        <v>0</v>
      </c>
      <c r="J33" s="232">
        <v>0</v>
      </c>
      <c r="K33" s="232" t="s">
        <v>22</v>
      </c>
      <c r="L33" s="232" t="s">
        <v>23</v>
      </c>
      <c r="M33" s="232" t="s">
        <v>1040</v>
      </c>
      <c r="N33" s="232" t="s">
        <v>1307</v>
      </c>
      <c r="O33" s="232" t="s">
        <v>1032</v>
      </c>
      <c r="P33" s="232" t="s">
        <v>1032</v>
      </c>
      <c r="Q33" s="232" t="s">
        <v>1032</v>
      </c>
      <c r="R33" s="232"/>
      <c r="S33" s="232" t="s">
        <v>1032</v>
      </c>
      <c r="T33" s="232" t="s">
        <v>1032</v>
      </c>
      <c r="U33" s="232" t="s">
        <v>1062</v>
      </c>
      <c r="V33" s="232" t="s">
        <v>1032</v>
      </c>
      <c r="W33" s="232" t="s">
        <v>1032</v>
      </c>
      <c r="X33" s="232">
        <f t="shared" si="0"/>
        <v>10</v>
      </c>
    </row>
    <row r="34" spans="1:24" ht="56" x14ac:dyDescent="0.3">
      <c r="A34" s="233" t="s">
        <v>95</v>
      </c>
      <c r="B34" s="232" t="s">
        <v>1467</v>
      </c>
      <c r="C34" s="232">
        <v>0</v>
      </c>
      <c r="D34" s="232">
        <v>0</v>
      </c>
      <c r="E34" s="232">
        <v>0</v>
      </c>
      <c r="F34" s="232">
        <v>0</v>
      </c>
      <c r="G34" s="232">
        <v>1</v>
      </c>
      <c r="H34" s="232">
        <v>0</v>
      </c>
      <c r="I34" s="232">
        <v>0</v>
      </c>
      <c r="J34" s="232">
        <v>0</v>
      </c>
      <c r="K34" s="232" t="s">
        <v>22</v>
      </c>
      <c r="L34" s="232" t="s">
        <v>23</v>
      </c>
      <c r="M34" s="232" t="s">
        <v>1040</v>
      </c>
      <c r="N34" s="232" t="s">
        <v>1307</v>
      </c>
      <c r="O34" s="232" t="s">
        <v>1032</v>
      </c>
      <c r="P34" s="232" t="s">
        <v>1032</v>
      </c>
      <c r="Q34" s="232" t="s">
        <v>1032</v>
      </c>
      <c r="R34" s="232"/>
      <c r="S34" s="232" t="s">
        <v>1032</v>
      </c>
      <c r="T34" s="232" t="s">
        <v>1032</v>
      </c>
      <c r="U34" s="232" t="s">
        <v>1062</v>
      </c>
      <c r="V34" s="232" t="s">
        <v>1032</v>
      </c>
      <c r="W34" s="232" t="s">
        <v>1032</v>
      </c>
      <c r="X34" s="232">
        <f t="shared" si="0"/>
        <v>10</v>
      </c>
    </row>
    <row r="35" spans="1:24" ht="56" x14ac:dyDescent="0.3">
      <c r="A35" s="233" t="s">
        <v>96</v>
      </c>
      <c r="B35" s="232" t="s">
        <v>1468</v>
      </c>
      <c r="C35" s="232">
        <v>0</v>
      </c>
      <c r="D35" s="232">
        <v>0</v>
      </c>
      <c r="E35" s="232">
        <v>0</v>
      </c>
      <c r="F35" s="232">
        <v>0</v>
      </c>
      <c r="G35" s="232">
        <v>1</v>
      </c>
      <c r="H35" s="232">
        <v>0</v>
      </c>
      <c r="I35" s="232">
        <v>0</v>
      </c>
      <c r="J35" s="232">
        <v>0</v>
      </c>
      <c r="K35" s="232" t="s">
        <v>22</v>
      </c>
      <c r="L35" s="232" t="s">
        <v>23</v>
      </c>
      <c r="M35" s="232" t="s">
        <v>1040</v>
      </c>
      <c r="N35" s="232" t="s">
        <v>1307</v>
      </c>
      <c r="O35" s="232" t="s">
        <v>1032</v>
      </c>
      <c r="P35" s="232" t="s">
        <v>1032</v>
      </c>
      <c r="Q35" s="232" t="s">
        <v>1032</v>
      </c>
      <c r="R35" s="232"/>
      <c r="S35" s="232" t="s">
        <v>1032</v>
      </c>
      <c r="T35" s="232" t="s">
        <v>1032</v>
      </c>
      <c r="U35" s="232" t="s">
        <v>1062</v>
      </c>
      <c r="V35" s="232" t="s">
        <v>1032</v>
      </c>
      <c r="W35" s="232" t="s">
        <v>1032</v>
      </c>
      <c r="X35" s="232">
        <f t="shared" si="0"/>
        <v>10</v>
      </c>
    </row>
    <row r="36" spans="1:24" ht="56" x14ac:dyDescent="0.3">
      <c r="A36" s="233" t="s">
        <v>97</v>
      </c>
      <c r="B36" s="232" t="s">
        <v>102</v>
      </c>
      <c r="C36" s="232">
        <v>0</v>
      </c>
      <c r="D36" s="232">
        <v>0</v>
      </c>
      <c r="E36" s="232">
        <v>0</v>
      </c>
      <c r="F36" s="232">
        <v>0</v>
      </c>
      <c r="G36" s="232">
        <v>1</v>
      </c>
      <c r="H36" s="232">
        <v>0</v>
      </c>
      <c r="I36" s="232">
        <v>0</v>
      </c>
      <c r="J36" s="232">
        <v>0</v>
      </c>
      <c r="K36" s="232"/>
      <c r="L36" s="232" t="s">
        <v>23</v>
      </c>
      <c r="M36" s="232" t="s">
        <v>1040</v>
      </c>
      <c r="N36" s="232" t="s">
        <v>1307</v>
      </c>
      <c r="O36" s="232" t="s">
        <v>1087</v>
      </c>
      <c r="P36" s="232" t="s">
        <v>1032</v>
      </c>
      <c r="Q36" s="232" t="s">
        <v>1032</v>
      </c>
      <c r="R36" s="232"/>
      <c r="S36" s="232" t="s">
        <v>1032</v>
      </c>
      <c r="T36" s="232" t="s">
        <v>1032</v>
      </c>
      <c r="U36" s="232" t="s">
        <v>1062</v>
      </c>
      <c r="V36" s="232" t="s">
        <v>1032</v>
      </c>
      <c r="W36" s="232" t="s">
        <v>75</v>
      </c>
      <c r="X36" s="232">
        <f t="shared" si="0"/>
        <v>10</v>
      </c>
    </row>
    <row r="37" spans="1:24" ht="280" x14ac:dyDescent="0.3">
      <c r="A37" s="233" t="s">
        <v>101</v>
      </c>
      <c r="B37" s="232" t="s">
        <v>1494</v>
      </c>
      <c r="C37" s="232">
        <v>0</v>
      </c>
      <c r="D37" s="232">
        <v>0</v>
      </c>
      <c r="E37" s="232">
        <v>0</v>
      </c>
      <c r="F37" s="232">
        <v>0</v>
      </c>
      <c r="G37" s="232">
        <v>1</v>
      </c>
      <c r="H37" s="232">
        <v>0</v>
      </c>
      <c r="I37" s="232">
        <v>0</v>
      </c>
      <c r="J37" s="232">
        <v>1</v>
      </c>
      <c r="K37" s="232"/>
      <c r="L37" s="232" t="s">
        <v>98</v>
      </c>
      <c r="M37" s="232" t="s">
        <v>72</v>
      </c>
      <c r="N37" s="232" t="s">
        <v>1307</v>
      </c>
      <c r="O37" s="232" t="s">
        <v>1495</v>
      </c>
      <c r="P37" s="232" t="s">
        <v>99</v>
      </c>
      <c r="Q37" s="232" t="s">
        <v>100</v>
      </c>
      <c r="R37" s="232"/>
      <c r="S37" s="232" t="s">
        <v>1308</v>
      </c>
      <c r="T37" s="232" t="s">
        <v>1496</v>
      </c>
      <c r="U37" s="232" t="s">
        <v>40</v>
      </c>
      <c r="V37" s="232" t="s">
        <v>1040</v>
      </c>
      <c r="W37" s="232" t="s">
        <v>46</v>
      </c>
      <c r="X37" s="232">
        <f t="shared" si="0"/>
        <v>20</v>
      </c>
    </row>
    <row r="38" spans="1:24" ht="80.25" customHeight="1" x14ac:dyDescent="0.3">
      <c r="A38" s="233" t="s">
        <v>103</v>
      </c>
      <c r="B38" s="232" t="s">
        <v>1232</v>
      </c>
      <c r="C38" s="232">
        <v>0</v>
      </c>
      <c r="D38" s="232">
        <v>0</v>
      </c>
      <c r="E38" s="232">
        <v>0</v>
      </c>
      <c r="F38" s="232">
        <v>0</v>
      </c>
      <c r="G38" s="232">
        <v>1</v>
      </c>
      <c r="H38" s="232">
        <v>0</v>
      </c>
      <c r="I38" s="232">
        <v>0</v>
      </c>
      <c r="J38" s="232">
        <v>0</v>
      </c>
      <c r="K38" s="232"/>
      <c r="L38" s="232" t="s">
        <v>98</v>
      </c>
      <c r="M38" s="232" t="s">
        <v>1032</v>
      </c>
      <c r="N38" s="232" t="s">
        <v>1307</v>
      </c>
      <c r="O38" s="232" t="s">
        <v>1032</v>
      </c>
      <c r="P38" s="232" t="s">
        <v>1032</v>
      </c>
      <c r="Q38" s="232" t="s">
        <v>1032</v>
      </c>
      <c r="R38" s="232"/>
      <c r="S38" s="232" t="s">
        <v>1584</v>
      </c>
      <c r="T38" s="232" t="s">
        <v>1032</v>
      </c>
      <c r="U38" s="232" t="s">
        <v>40</v>
      </c>
      <c r="V38" s="232" t="s">
        <v>1032</v>
      </c>
      <c r="W38" s="232" t="s">
        <v>46</v>
      </c>
      <c r="X38" s="232">
        <f t="shared" si="0"/>
        <v>20</v>
      </c>
    </row>
    <row r="39" spans="1:24" ht="210" x14ac:dyDescent="0.3">
      <c r="A39" s="233" t="s">
        <v>106</v>
      </c>
      <c r="B39" s="232" t="s">
        <v>1233</v>
      </c>
      <c r="C39" s="232">
        <v>0</v>
      </c>
      <c r="D39" s="232">
        <v>0</v>
      </c>
      <c r="E39" s="232">
        <v>0</v>
      </c>
      <c r="F39" s="232">
        <v>0</v>
      </c>
      <c r="G39" s="232">
        <v>1</v>
      </c>
      <c r="H39" s="232">
        <v>0</v>
      </c>
      <c r="I39" s="232">
        <v>0</v>
      </c>
      <c r="J39" s="232">
        <v>0</v>
      </c>
      <c r="K39" s="232"/>
      <c r="L39" s="232" t="s">
        <v>98</v>
      </c>
      <c r="M39" s="232" t="s">
        <v>1032</v>
      </c>
      <c r="N39" s="232" t="s">
        <v>1307</v>
      </c>
      <c r="O39" s="232" t="s">
        <v>1234</v>
      </c>
      <c r="P39" s="232" t="s">
        <v>1032</v>
      </c>
      <c r="Q39" s="232" t="s">
        <v>1032</v>
      </c>
      <c r="R39" s="232"/>
      <c r="S39" s="232" t="s">
        <v>1584</v>
      </c>
      <c r="T39" s="232" t="s">
        <v>1032</v>
      </c>
      <c r="U39" s="232" t="s">
        <v>40</v>
      </c>
      <c r="V39" s="232" t="s">
        <v>1032</v>
      </c>
      <c r="W39" s="232" t="s">
        <v>46</v>
      </c>
      <c r="X39" s="232">
        <f t="shared" si="0"/>
        <v>20</v>
      </c>
    </row>
    <row r="40" spans="1:24" ht="112" x14ac:dyDescent="0.3">
      <c r="A40" s="233" t="s">
        <v>108</v>
      </c>
      <c r="B40" s="232" t="s">
        <v>1041</v>
      </c>
      <c r="C40" s="232">
        <v>0</v>
      </c>
      <c r="D40" s="232">
        <v>0</v>
      </c>
      <c r="E40" s="232">
        <v>0</v>
      </c>
      <c r="F40" s="232">
        <v>0</v>
      </c>
      <c r="G40" s="232">
        <v>1</v>
      </c>
      <c r="H40" s="232">
        <v>0</v>
      </c>
      <c r="I40" s="232">
        <v>0</v>
      </c>
      <c r="J40" s="232">
        <v>0</v>
      </c>
      <c r="K40" s="232"/>
      <c r="L40" s="232" t="s">
        <v>98</v>
      </c>
      <c r="M40" s="232" t="s">
        <v>1040</v>
      </c>
      <c r="N40" s="232" t="s">
        <v>1307</v>
      </c>
      <c r="O40" s="232" t="s">
        <v>1124</v>
      </c>
      <c r="P40" s="232" t="s">
        <v>121</v>
      </c>
      <c r="Q40" s="232" t="s">
        <v>122</v>
      </c>
      <c r="R40" s="232"/>
      <c r="S40" s="232" t="s">
        <v>1032</v>
      </c>
      <c r="T40" s="232" t="s">
        <v>1125</v>
      </c>
      <c r="U40" s="232" t="s">
        <v>40</v>
      </c>
      <c r="V40" s="232" t="s">
        <v>1040</v>
      </c>
      <c r="W40" s="232" t="s">
        <v>46</v>
      </c>
      <c r="X40" s="232">
        <f t="shared" si="0"/>
        <v>20</v>
      </c>
    </row>
    <row r="41" spans="1:24" ht="224" x14ac:dyDescent="0.3">
      <c r="A41" s="233" t="s">
        <v>111</v>
      </c>
      <c r="B41" s="232" t="s">
        <v>1235</v>
      </c>
      <c r="C41" s="232">
        <v>0</v>
      </c>
      <c r="D41" s="232">
        <v>0</v>
      </c>
      <c r="E41" s="232">
        <v>0</v>
      </c>
      <c r="F41" s="232">
        <v>0</v>
      </c>
      <c r="G41" s="232">
        <v>1</v>
      </c>
      <c r="H41" s="232">
        <v>0</v>
      </c>
      <c r="I41" s="232">
        <v>0</v>
      </c>
      <c r="J41" s="232">
        <v>1</v>
      </c>
      <c r="K41" s="232"/>
      <c r="L41" s="232" t="s">
        <v>98</v>
      </c>
      <c r="M41" s="232" t="s">
        <v>72</v>
      </c>
      <c r="N41" s="232" t="s">
        <v>1307</v>
      </c>
      <c r="O41" s="232" t="s">
        <v>1126</v>
      </c>
      <c r="P41" s="232" t="s">
        <v>104</v>
      </c>
      <c r="Q41" s="232" t="s">
        <v>105</v>
      </c>
      <c r="R41" s="232"/>
      <c r="S41" s="232" t="s">
        <v>1236</v>
      </c>
      <c r="T41" s="232" t="s">
        <v>1497</v>
      </c>
      <c r="U41" s="232" t="s">
        <v>40</v>
      </c>
      <c r="V41" s="232" t="s">
        <v>1040</v>
      </c>
      <c r="W41" s="232" t="s">
        <v>75</v>
      </c>
      <c r="X41" s="232">
        <f t="shared" si="0"/>
        <v>10</v>
      </c>
    </row>
    <row r="42" spans="1:24" ht="168" x14ac:dyDescent="0.3">
      <c r="A42" s="233" t="s">
        <v>112</v>
      </c>
      <c r="B42" s="232" t="s">
        <v>1237</v>
      </c>
      <c r="C42" s="232">
        <v>0</v>
      </c>
      <c r="D42" s="232">
        <v>0</v>
      </c>
      <c r="E42" s="232">
        <v>0</v>
      </c>
      <c r="F42" s="232">
        <v>0</v>
      </c>
      <c r="G42" s="232">
        <v>1</v>
      </c>
      <c r="H42" s="232">
        <v>0</v>
      </c>
      <c r="I42" s="232">
        <v>0</v>
      </c>
      <c r="J42" s="232">
        <v>0</v>
      </c>
      <c r="K42" s="232"/>
      <c r="L42" s="232" t="s">
        <v>98</v>
      </c>
      <c r="M42" s="232" t="s">
        <v>1040</v>
      </c>
      <c r="N42" s="232" t="s">
        <v>1307</v>
      </c>
      <c r="O42" s="232" t="s">
        <v>1590</v>
      </c>
      <c r="P42" s="232" t="s">
        <v>1589</v>
      </c>
      <c r="Q42" s="232" t="s">
        <v>107</v>
      </c>
      <c r="R42" s="232"/>
      <c r="S42" s="232" t="s">
        <v>1238</v>
      </c>
      <c r="T42" s="232" t="s">
        <v>1032</v>
      </c>
      <c r="U42" s="232" t="s">
        <v>40</v>
      </c>
      <c r="V42" s="232" t="s">
        <v>1040</v>
      </c>
      <c r="W42" s="232" t="s">
        <v>75</v>
      </c>
      <c r="X42" s="232">
        <f t="shared" si="0"/>
        <v>10</v>
      </c>
    </row>
    <row r="43" spans="1:24" ht="308" x14ac:dyDescent="0.3">
      <c r="A43" s="233" t="s">
        <v>113</v>
      </c>
      <c r="B43" s="232" t="s">
        <v>109</v>
      </c>
      <c r="C43" s="232">
        <v>0</v>
      </c>
      <c r="D43" s="232">
        <v>0</v>
      </c>
      <c r="E43" s="232">
        <v>0</v>
      </c>
      <c r="F43" s="232">
        <v>0</v>
      </c>
      <c r="G43" s="232">
        <v>1</v>
      </c>
      <c r="H43" s="232">
        <v>0</v>
      </c>
      <c r="I43" s="232">
        <v>0</v>
      </c>
      <c r="J43" s="232">
        <v>0</v>
      </c>
      <c r="K43" s="232"/>
      <c r="L43" s="232" t="s">
        <v>98</v>
      </c>
      <c r="M43" s="232" t="s">
        <v>1040</v>
      </c>
      <c r="N43" s="232" t="s">
        <v>1307</v>
      </c>
      <c r="O43" s="232" t="s">
        <v>1032</v>
      </c>
      <c r="P43" s="232" t="s">
        <v>1239</v>
      </c>
      <c r="Q43" s="232" t="s">
        <v>110</v>
      </c>
      <c r="R43" s="232"/>
      <c r="S43" s="232" t="s">
        <v>1498</v>
      </c>
      <c r="T43" s="232" t="s">
        <v>1032</v>
      </c>
      <c r="U43" s="232" t="s">
        <v>40</v>
      </c>
      <c r="V43" s="232" t="s">
        <v>1040</v>
      </c>
      <c r="W43" s="232" t="s">
        <v>75</v>
      </c>
      <c r="X43" s="232">
        <f t="shared" si="0"/>
        <v>10</v>
      </c>
    </row>
    <row r="44" spans="1:24" ht="168" x14ac:dyDescent="0.3">
      <c r="A44" s="233" t="s">
        <v>114</v>
      </c>
      <c r="B44" s="232" t="s">
        <v>1240</v>
      </c>
      <c r="C44" s="232">
        <v>0</v>
      </c>
      <c r="D44" s="232">
        <v>0</v>
      </c>
      <c r="E44" s="232">
        <v>0</v>
      </c>
      <c r="F44" s="232">
        <v>0</v>
      </c>
      <c r="G44" s="232">
        <v>1</v>
      </c>
      <c r="H44" s="232">
        <v>0</v>
      </c>
      <c r="I44" s="232">
        <v>0</v>
      </c>
      <c r="J44" s="232">
        <v>0</v>
      </c>
      <c r="K44" s="232"/>
      <c r="L44" s="232" t="s">
        <v>98</v>
      </c>
      <c r="M44" s="232" t="s">
        <v>1040</v>
      </c>
      <c r="N44" s="232" t="s">
        <v>1307</v>
      </c>
      <c r="O44" s="232" t="s">
        <v>1241</v>
      </c>
      <c r="P44" s="232" t="s">
        <v>1242</v>
      </c>
      <c r="Q44" s="232" t="s">
        <v>1588</v>
      </c>
      <c r="R44" s="232"/>
      <c r="S44" s="232" t="s">
        <v>1309</v>
      </c>
      <c r="T44" s="232" t="s">
        <v>1032</v>
      </c>
      <c r="U44" s="232" t="s">
        <v>40</v>
      </c>
      <c r="V44" s="232" t="s">
        <v>1040</v>
      </c>
      <c r="W44" s="232" t="s">
        <v>75</v>
      </c>
      <c r="X44" s="232">
        <f t="shared" si="0"/>
        <v>10</v>
      </c>
    </row>
    <row r="45" spans="1:24" ht="210" x14ac:dyDescent="0.3">
      <c r="A45" s="233" t="s">
        <v>116</v>
      </c>
      <c r="B45" s="232" t="s">
        <v>115</v>
      </c>
      <c r="C45" s="232">
        <v>0</v>
      </c>
      <c r="D45" s="232">
        <v>0</v>
      </c>
      <c r="E45" s="232">
        <v>0</v>
      </c>
      <c r="F45" s="232">
        <v>0</v>
      </c>
      <c r="G45" s="232">
        <v>1</v>
      </c>
      <c r="H45" s="232">
        <v>0</v>
      </c>
      <c r="I45" s="232">
        <v>0</v>
      </c>
      <c r="J45" s="232">
        <v>0</v>
      </c>
      <c r="K45" s="232"/>
      <c r="L45" s="232" t="s">
        <v>98</v>
      </c>
      <c r="M45" s="232" t="s">
        <v>1040</v>
      </c>
      <c r="N45" s="232" t="s">
        <v>1307</v>
      </c>
      <c r="O45" s="232" t="s">
        <v>1499</v>
      </c>
      <c r="P45" s="232" t="s">
        <v>1243</v>
      </c>
      <c r="Q45" s="232" t="s">
        <v>1127</v>
      </c>
      <c r="R45" s="232"/>
      <c r="S45" s="232" t="s">
        <v>1310</v>
      </c>
      <c r="T45" s="232" t="s">
        <v>1311</v>
      </c>
      <c r="U45" s="232" t="s">
        <v>40</v>
      </c>
      <c r="V45" s="232" t="s">
        <v>1040</v>
      </c>
      <c r="W45" s="232" t="s">
        <v>75</v>
      </c>
      <c r="X45" s="232">
        <f t="shared" si="0"/>
        <v>10</v>
      </c>
    </row>
    <row r="46" spans="1:24" ht="266" x14ac:dyDescent="0.3">
      <c r="A46" s="233" t="s">
        <v>120</v>
      </c>
      <c r="B46" s="232" t="s">
        <v>117</v>
      </c>
      <c r="C46" s="232">
        <v>0</v>
      </c>
      <c r="D46" s="232">
        <v>0</v>
      </c>
      <c r="E46" s="232">
        <v>0</v>
      </c>
      <c r="F46" s="232">
        <v>0</v>
      </c>
      <c r="G46" s="232">
        <v>1</v>
      </c>
      <c r="H46" s="232">
        <v>0</v>
      </c>
      <c r="I46" s="232">
        <v>0</v>
      </c>
      <c r="J46" s="232">
        <v>0</v>
      </c>
      <c r="K46" s="232"/>
      <c r="L46" s="232" t="s">
        <v>98</v>
      </c>
      <c r="M46" s="232" t="s">
        <v>1040</v>
      </c>
      <c r="N46" s="232" t="s">
        <v>1307</v>
      </c>
      <c r="O46" s="232" t="s">
        <v>1500</v>
      </c>
      <c r="P46" s="232" t="s">
        <v>118</v>
      </c>
      <c r="Q46" s="232" t="s">
        <v>119</v>
      </c>
      <c r="R46" s="232"/>
      <c r="S46" s="232" t="s">
        <v>1312</v>
      </c>
      <c r="T46" s="232" t="s">
        <v>1032</v>
      </c>
      <c r="U46" s="232" t="s">
        <v>40</v>
      </c>
      <c r="V46" s="232" t="s">
        <v>1040</v>
      </c>
      <c r="W46" s="232" t="s">
        <v>75</v>
      </c>
      <c r="X46" s="232">
        <f t="shared" si="0"/>
        <v>10</v>
      </c>
    </row>
    <row r="47" spans="1:24" ht="308" x14ac:dyDescent="0.3">
      <c r="A47" s="233" t="s">
        <v>123</v>
      </c>
      <c r="B47" s="232" t="s">
        <v>124</v>
      </c>
      <c r="C47" s="232">
        <v>0</v>
      </c>
      <c r="D47" s="232">
        <v>0</v>
      </c>
      <c r="E47" s="232">
        <v>0</v>
      </c>
      <c r="F47" s="232">
        <v>0</v>
      </c>
      <c r="G47" s="232">
        <v>1</v>
      </c>
      <c r="H47" s="232">
        <v>0</v>
      </c>
      <c r="I47" s="232">
        <v>0</v>
      </c>
      <c r="J47" s="232">
        <v>0</v>
      </c>
      <c r="K47" s="232"/>
      <c r="L47" s="232" t="s">
        <v>98</v>
      </c>
      <c r="M47" s="232" t="s">
        <v>1040</v>
      </c>
      <c r="N47" s="232" t="s">
        <v>1307</v>
      </c>
      <c r="O47" s="232" t="s">
        <v>1586</v>
      </c>
      <c r="P47" s="232" t="s">
        <v>125</v>
      </c>
      <c r="Q47" s="232" t="s">
        <v>1587</v>
      </c>
      <c r="R47" s="232"/>
      <c r="S47" s="232" t="s">
        <v>1313</v>
      </c>
      <c r="U47" s="232" t="s">
        <v>40</v>
      </c>
      <c r="V47" s="232" t="s">
        <v>1040</v>
      </c>
      <c r="W47" s="232" t="s">
        <v>75</v>
      </c>
      <c r="X47" s="232">
        <f t="shared" si="0"/>
        <v>10</v>
      </c>
    </row>
    <row r="48" spans="1:24" ht="154" x14ac:dyDescent="0.3">
      <c r="A48" s="233" t="s">
        <v>126</v>
      </c>
      <c r="B48" s="232" t="s">
        <v>127</v>
      </c>
      <c r="C48" s="232">
        <v>0</v>
      </c>
      <c r="D48" s="232">
        <v>0</v>
      </c>
      <c r="E48" s="232">
        <v>0</v>
      </c>
      <c r="F48" s="232">
        <v>0</v>
      </c>
      <c r="G48" s="232">
        <v>1</v>
      </c>
      <c r="H48" s="232">
        <v>0</v>
      </c>
      <c r="I48" s="232">
        <v>0</v>
      </c>
      <c r="J48" s="232">
        <v>0</v>
      </c>
      <c r="K48" s="232"/>
      <c r="L48" s="232" t="s">
        <v>98</v>
      </c>
      <c r="M48" s="232" t="s">
        <v>1040</v>
      </c>
      <c r="N48" s="232" t="s">
        <v>1307</v>
      </c>
      <c r="O48" s="232" t="s">
        <v>1032</v>
      </c>
      <c r="P48" s="232" t="s">
        <v>1244</v>
      </c>
      <c r="Q48" s="232" t="s">
        <v>128</v>
      </c>
      <c r="R48" s="232"/>
      <c r="S48" s="232" t="s">
        <v>1128</v>
      </c>
      <c r="T48" s="232" t="s">
        <v>1573</v>
      </c>
      <c r="U48" s="232" t="s">
        <v>40</v>
      </c>
      <c r="V48" s="232" t="s">
        <v>1040</v>
      </c>
      <c r="W48" s="232" t="s">
        <v>75</v>
      </c>
      <c r="X48" s="232">
        <f t="shared" si="0"/>
        <v>10</v>
      </c>
    </row>
    <row r="49" spans="1:24" ht="224" x14ac:dyDescent="0.3">
      <c r="A49" s="233" t="s">
        <v>129</v>
      </c>
      <c r="B49" s="232" t="s">
        <v>1585</v>
      </c>
      <c r="C49" s="232">
        <v>0</v>
      </c>
      <c r="D49" s="232">
        <v>0</v>
      </c>
      <c r="E49" s="232">
        <v>0</v>
      </c>
      <c r="F49" s="232">
        <v>0</v>
      </c>
      <c r="G49" s="232">
        <v>1</v>
      </c>
      <c r="H49" s="232">
        <v>0</v>
      </c>
      <c r="I49" s="232">
        <v>0</v>
      </c>
      <c r="J49" s="232">
        <v>0</v>
      </c>
      <c r="K49" s="232"/>
      <c r="L49" s="232" t="s">
        <v>98</v>
      </c>
      <c r="M49" s="232" t="s">
        <v>1040</v>
      </c>
      <c r="N49" s="232" t="s">
        <v>1307</v>
      </c>
      <c r="O49" s="232" t="s">
        <v>1129</v>
      </c>
      <c r="P49" s="232" t="s">
        <v>1032</v>
      </c>
      <c r="Q49" s="232" t="s">
        <v>1130</v>
      </c>
      <c r="R49" s="232"/>
      <c r="S49" s="232" t="s">
        <v>1501</v>
      </c>
      <c r="T49" s="232" t="s">
        <v>1032</v>
      </c>
      <c r="U49" s="232" t="s">
        <v>149</v>
      </c>
      <c r="V49" s="232" t="s">
        <v>1040</v>
      </c>
      <c r="W49" s="232" t="s">
        <v>75</v>
      </c>
      <c r="X49" s="232">
        <f t="shared" si="0"/>
        <v>10</v>
      </c>
    </row>
    <row r="50" spans="1:24" ht="210" x14ac:dyDescent="0.3">
      <c r="A50" s="232" t="s">
        <v>130</v>
      </c>
      <c r="B50" s="232" t="s">
        <v>1131</v>
      </c>
      <c r="C50" s="232">
        <v>0</v>
      </c>
      <c r="D50" s="232">
        <v>1</v>
      </c>
      <c r="E50" s="232">
        <v>0</v>
      </c>
      <c r="F50" s="232">
        <v>0</v>
      </c>
      <c r="G50" s="232">
        <v>0</v>
      </c>
      <c r="H50" s="232">
        <v>0</v>
      </c>
      <c r="I50" s="232">
        <v>0</v>
      </c>
      <c r="J50" s="232">
        <v>1</v>
      </c>
      <c r="K50" s="232"/>
      <c r="L50" s="232" t="s">
        <v>131</v>
      </c>
      <c r="M50" s="232" t="s">
        <v>1040</v>
      </c>
      <c r="N50" s="232" t="s">
        <v>1032</v>
      </c>
      <c r="O50" s="232"/>
      <c r="P50" s="232" t="s">
        <v>132</v>
      </c>
      <c r="Q50" s="232" t="s">
        <v>133</v>
      </c>
      <c r="R50" s="232"/>
      <c r="S50" s="232" t="s">
        <v>1314</v>
      </c>
      <c r="T50" s="232" t="s">
        <v>1315</v>
      </c>
      <c r="U50" s="232" t="s">
        <v>40</v>
      </c>
      <c r="V50" s="232" t="s">
        <v>1040</v>
      </c>
      <c r="W50" s="232" t="s">
        <v>46</v>
      </c>
      <c r="X50" s="232">
        <f t="shared" si="0"/>
        <v>20</v>
      </c>
    </row>
    <row r="51" spans="1:24" ht="112" x14ac:dyDescent="0.3">
      <c r="A51" s="232" t="s">
        <v>134</v>
      </c>
      <c r="B51" s="232" t="s">
        <v>1502</v>
      </c>
      <c r="C51" s="232">
        <v>0</v>
      </c>
      <c r="D51" s="232">
        <v>1</v>
      </c>
      <c r="E51" s="232">
        <v>0</v>
      </c>
      <c r="F51" s="232">
        <v>0</v>
      </c>
      <c r="G51" s="232">
        <v>0</v>
      </c>
      <c r="H51" s="232">
        <v>0</v>
      </c>
      <c r="I51" s="232">
        <v>0</v>
      </c>
      <c r="J51" s="232">
        <v>1</v>
      </c>
      <c r="K51" s="232"/>
      <c r="L51" s="232" t="s">
        <v>131</v>
      </c>
      <c r="M51" s="232" t="s">
        <v>1040</v>
      </c>
      <c r="N51" s="232" t="s">
        <v>1032</v>
      </c>
      <c r="O51" s="232" t="s">
        <v>1478</v>
      </c>
      <c r="P51" s="232"/>
      <c r="Q51" s="232" t="s">
        <v>1478</v>
      </c>
      <c r="R51" s="232"/>
      <c r="S51" s="232" t="s">
        <v>135</v>
      </c>
      <c r="T51" s="232" t="s">
        <v>136</v>
      </c>
      <c r="U51" s="232" t="s">
        <v>40</v>
      </c>
      <c r="V51" s="232" t="s">
        <v>1040</v>
      </c>
      <c r="W51" s="232" t="s">
        <v>46</v>
      </c>
      <c r="X51" s="232">
        <f t="shared" si="0"/>
        <v>20</v>
      </c>
    </row>
    <row r="52" spans="1:24" ht="84" x14ac:dyDescent="0.3">
      <c r="A52" s="232" t="s">
        <v>137</v>
      </c>
      <c r="B52" s="232" t="s">
        <v>1503</v>
      </c>
      <c r="C52" s="232">
        <v>0</v>
      </c>
      <c r="D52" s="232">
        <v>1</v>
      </c>
      <c r="E52" s="232">
        <v>0</v>
      </c>
      <c r="F52" s="232">
        <v>0</v>
      </c>
      <c r="G52" s="232">
        <v>0</v>
      </c>
      <c r="H52" s="232">
        <v>0</v>
      </c>
      <c r="I52" s="232">
        <v>0</v>
      </c>
      <c r="J52" s="232">
        <v>1</v>
      </c>
      <c r="K52" s="232"/>
      <c r="L52" s="232" t="s">
        <v>131</v>
      </c>
      <c r="M52" s="232" t="s">
        <v>1040</v>
      </c>
      <c r="N52" s="232" t="s">
        <v>1032</v>
      </c>
      <c r="O52" s="232" t="s">
        <v>1032</v>
      </c>
      <c r="P52" s="232" t="s">
        <v>1032</v>
      </c>
      <c r="Q52" s="232" t="s">
        <v>1032</v>
      </c>
      <c r="R52" s="232"/>
      <c r="S52" s="232" t="s">
        <v>1132</v>
      </c>
      <c r="T52" s="232" t="s">
        <v>1133</v>
      </c>
      <c r="U52" s="232" t="s">
        <v>40</v>
      </c>
      <c r="V52" s="232" t="s">
        <v>1040</v>
      </c>
      <c r="W52" s="232" t="s">
        <v>46</v>
      </c>
      <c r="X52" s="232">
        <f t="shared" si="0"/>
        <v>20</v>
      </c>
    </row>
    <row r="53" spans="1:24" ht="364" x14ac:dyDescent="0.3">
      <c r="A53" s="232" t="s">
        <v>138</v>
      </c>
      <c r="B53" s="232" t="s">
        <v>1042</v>
      </c>
      <c r="C53" s="232">
        <v>0</v>
      </c>
      <c r="D53" s="232">
        <v>1</v>
      </c>
      <c r="E53" s="232">
        <v>0</v>
      </c>
      <c r="F53" s="232">
        <v>0</v>
      </c>
      <c r="G53" s="232">
        <v>0</v>
      </c>
      <c r="H53" s="232">
        <v>0</v>
      </c>
      <c r="I53" s="232">
        <v>0</v>
      </c>
      <c r="J53" s="232">
        <v>1</v>
      </c>
      <c r="K53" s="232"/>
      <c r="L53" s="232" t="s">
        <v>131</v>
      </c>
      <c r="M53" s="232" t="s">
        <v>1040</v>
      </c>
      <c r="N53" s="232" t="s">
        <v>1032</v>
      </c>
      <c r="O53" s="232" t="s">
        <v>1316</v>
      </c>
      <c r="P53" s="232" t="s">
        <v>139</v>
      </c>
      <c r="Q53" s="232" t="s">
        <v>140</v>
      </c>
      <c r="R53" s="232"/>
      <c r="S53" s="232" t="s">
        <v>1317</v>
      </c>
      <c r="T53" s="232" t="s">
        <v>1318</v>
      </c>
      <c r="U53" s="232" t="s">
        <v>40</v>
      </c>
      <c r="V53" s="232" t="s">
        <v>1040</v>
      </c>
      <c r="W53" s="232" t="s">
        <v>46</v>
      </c>
      <c r="X53" s="232">
        <f t="shared" si="0"/>
        <v>20</v>
      </c>
    </row>
    <row r="54" spans="1:24" ht="210" x14ac:dyDescent="0.3">
      <c r="A54" s="232" t="s">
        <v>141</v>
      </c>
      <c r="B54" s="232" t="s">
        <v>1134</v>
      </c>
      <c r="C54" s="232">
        <v>0</v>
      </c>
      <c r="D54" s="232">
        <v>1</v>
      </c>
      <c r="E54" s="232">
        <v>0</v>
      </c>
      <c r="F54" s="232">
        <v>0</v>
      </c>
      <c r="G54" s="232">
        <v>0</v>
      </c>
      <c r="H54" s="232">
        <v>0</v>
      </c>
      <c r="I54" s="232">
        <v>0</v>
      </c>
      <c r="J54" s="232">
        <v>0</v>
      </c>
      <c r="K54" s="232"/>
      <c r="L54" s="232" t="s">
        <v>131</v>
      </c>
      <c r="M54" s="232" t="s">
        <v>1040</v>
      </c>
      <c r="N54" s="232" t="s">
        <v>1032</v>
      </c>
      <c r="O54" s="232" t="s">
        <v>142</v>
      </c>
      <c r="P54" s="232" t="s">
        <v>143</v>
      </c>
      <c r="Q54" s="232" t="s">
        <v>144</v>
      </c>
      <c r="R54" s="232"/>
      <c r="S54" s="232" t="s">
        <v>1319</v>
      </c>
      <c r="T54" s="232" t="s">
        <v>145</v>
      </c>
      <c r="U54" s="232" t="s">
        <v>40</v>
      </c>
      <c r="V54" s="232" t="s">
        <v>1040</v>
      </c>
      <c r="W54" s="232" t="s">
        <v>75</v>
      </c>
      <c r="X54" s="232">
        <f t="shared" si="0"/>
        <v>10</v>
      </c>
    </row>
    <row r="55" spans="1:24" ht="154" x14ac:dyDescent="0.3">
      <c r="A55" s="232" t="s">
        <v>146</v>
      </c>
      <c r="B55" s="232" t="s">
        <v>1043</v>
      </c>
      <c r="C55" s="232">
        <v>0</v>
      </c>
      <c r="D55" s="232">
        <v>0</v>
      </c>
      <c r="E55" s="232">
        <v>0</v>
      </c>
      <c r="F55" s="232">
        <v>0</v>
      </c>
      <c r="G55" s="232">
        <v>0</v>
      </c>
      <c r="H55" s="232">
        <v>1</v>
      </c>
      <c r="I55" s="232">
        <v>0</v>
      </c>
      <c r="J55" s="232">
        <v>1</v>
      </c>
      <c r="K55" s="232"/>
      <c r="L55" s="232" t="s">
        <v>148</v>
      </c>
      <c r="M55" s="232" t="s">
        <v>1040</v>
      </c>
      <c r="N55" s="232" t="s">
        <v>1320</v>
      </c>
      <c r="O55" s="232" t="s">
        <v>1032</v>
      </c>
      <c r="P55" s="232" t="s">
        <v>1032</v>
      </c>
      <c r="Q55" s="232" t="s">
        <v>1032</v>
      </c>
      <c r="R55" s="232"/>
      <c r="S55" s="232" t="s">
        <v>1135</v>
      </c>
      <c r="T55" s="232" t="s">
        <v>34</v>
      </c>
      <c r="U55" s="232" t="s">
        <v>149</v>
      </c>
      <c r="V55" s="232" t="s">
        <v>1040</v>
      </c>
      <c r="W55" s="232" t="s">
        <v>46</v>
      </c>
      <c r="X55" s="232">
        <f t="shared" si="0"/>
        <v>20</v>
      </c>
    </row>
    <row r="56" spans="1:24" ht="154" x14ac:dyDescent="0.3">
      <c r="A56" s="232" t="s">
        <v>150</v>
      </c>
      <c r="B56" s="232" t="s">
        <v>1044</v>
      </c>
      <c r="C56" s="232">
        <v>0</v>
      </c>
      <c r="D56" s="232">
        <v>0</v>
      </c>
      <c r="E56" s="232">
        <v>0</v>
      </c>
      <c r="F56" s="232">
        <v>0</v>
      </c>
      <c r="G56" s="232">
        <v>0</v>
      </c>
      <c r="H56" s="232">
        <v>1</v>
      </c>
      <c r="I56" s="232">
        <v>0</v>
      </c>
      <c r="J56" s="232">
        <v>1</v>
      </c>
      <c r="K56" s="232"/>
      <c r="L56" s="232" t="s">
        <v>148</v>
      </c>
      <c r="M56" s="232" t="s">
        <v>1040</v>
      </c>
      <c r="N56" s="232" t="s">
        <v>1320</v>
      </c>
      <c r="O56" s="232" t="s">
        <v>1032</v>
      </c>
      <c r="P56" s="232" t="s">
        <v>1032</v>
      </c>
      <c r="Q56" s="232" t="s">
        <v>1032</v>
      </c>
      <c r="R56" s="232"/>
      <c r="S56" s="232" t="s">
        <v>1135</v>
      </c>
      <c r="T56" s="232" t="s">
        <v>34</v>
      </c>
      <c r="U56" s="232" t="s">
        <v>40</v>
      </c>
      <c r="V56" s="232" t="s">
        <v>1040</v>
      </c>
      <c r="W56" s="232" t="s">
        <v>46</v>
      </c>
      <c r="X56" s="232">
        <f t="shared" si="0"/>
        <v>20</v>
      </c>
    </row>
    <row r="57" spans="1:24" ht="154" x14ac:dyDescent="0.3">
      <c r="A57" s="232" t="s">
        <v>151</v>
      </c>
      <c r="B57" s="232" t="s">
        <v>1504</v>
      </c>
      <c r="C57" s="232">
        <v>0</v>
      </c>
      <c r="D57" s="232">
        <v>0</v>
      </c>
      <c r="E57" s="232">
        <v>0</v>
      </c>
      <c r="F57" s="232">
        <v>0</v>
      </c>
      <c r="G57" s="232">
        <v>0</v>
      </c>
      <c r="H57" s="232">
        <v>1</v>
      </c>
      <c r="I57" s="232">
        <v>0</v>
      </c>
      <c r="J57" s="232">
        <v>1</v>
      </c>
      <c r="K57" s="232"/>
      <c r="L57" s="232" t="s">
        <v>148</v>
      </c>
      <c r="M57" s="232" t="s">
        <v>1040</v>
      </c>
      <c r="N57" s="232" t="s">
        <v>1320</v>
      </c>
      <c r="O57" s="232" t="s">
        <v>1032</v>
      </c>
      <c r="P57" s="232" t="s">
        <v>1032</v>
      </c>
      <c r="Q57" s="232" t="s">
        <v>1032</v>
      </c>
      <c r="R57" s="232"/>
      <c r="S57" s="232" t="s">
        <v>1135</v>
      </c>
      <c r="T57" s="232" t="s">
        <v>34</v>
      </c>
      <c r="U57" s="232" t="s">
        <v>40</v>
      </c>
      <c r="V57" s="232" t="s">
        <v>1040</v>
      </c>
      <c r="W57" s="232" t="s">
        <v>46</v>
      </c>
      <c r="X57" s="232">
        <f t="shared" si="0"/>
        <v>20</v>
      </c>
    </row>
    <row r="58" spans="1:24" ht="154" x14ac:dyDescent="0.3">
      <c r="A58" s="232" t="s">
        <v>153</v>
      </c>
      <c r="B58" s="232" t="s">
        <v>1544</v>
      </c>
      <c r="C58" s="232">
        <v>0</v>
      </c>
      <c r="D58" s="232">
        <v>0</v>
      </c>
      <c r="E58" s="232">
        <v>0</v>
      </c>
      <c r="F58" s="232">
        <v>0</v>
      </c>
      <c r="G58" s="232">
        <v>0</v>
      </c>
      <c r="H58" s="232">
        <v>1</v>
      </c>
      <c r="I58" s="232">
        <v>0</v>
      </c>
      <c r="J58" s="232">
        <v>1</v>
      </c>
      <c r="K58" s="232"/>
      <c r="L58" s="232" t="s">
        <v>148</v>
      </c>
      <c r="M58" s="232" t="s">
        <v>1040</v>
      </c>
      <c r="N58" s="232" t="s">
        <v>1320</v>
      </c>
      <c r="O58" s="232" t="s">
        <v>1032</v>
      </c>
      <c r="P58" s="232" t="s">
        <v>1032</v>
      </c>
      <c r="Q58" s="232" t="s">
        <v>1032</v>
      </c>
      <c r="R58" s="232"/>
      <c r="S58" s="232" t="s">
        <v>1135</v>
      </c>
      <c r="T58" s="232" t="s">
        <v>34</v>
      </c>
      <c r="U58" s="232" t="s">
        <v>40</v>
      </c>
      <c r="V58" s="232" t="s">
        <v>1040</v>
      </c>
      <c r="W58" s="232" t="s">
        <v>46</v>
      </c>
      <c r="X58" s="232">
        <f t="shared" si="0"/>
        <v>20</v>
      </c>
    </row>
    <row r="59" spans="1:24" ht="154" x14ac:dyDescent="0.3">
      <c r="A59" s="232" t="s">
        <v>155</v>
      </c>
      <c r="B59" s="232" t="s">
        <v>147</v>
      </c>
      <c r="C59" s="232">
        <v>0</v>
      </c>
      <c r="D59" s="232">
        <v>0</v>
      </c>
      <c r="E59" s="232">
        <v>0</v>
      </c>
      <c r="F59" s="232">
        <v>0</v>
      </c>
      <c r="G59" s="232">
        <v>0</v>
      </c>
      <c r="H59" s="232">
        <v>1</v>
      </c>
      <c r="I59" s="232">
        <v>0</v>
      </c>
      <c r="J59" s="232">
        <v>1</v>
      </c>
      <c r="K59" s="232"/>
      <c r="L59" s="232" t="s">
        <v>148</v>
      </c>
      <c r="M59" s="232" t="s">
        <v>1040</v>
      </c>
      <c r="N59" s="232" t="s">
        <v>1320</v>
      </c>
      <c r="O59" s="232" t="s">
        <v>1032</v>
      </c>
      <c r="P59" s="232" t="s">
        <v>1032</v>
      </c>
      <c r="Q59" s="232" t="s">
        <v>1032</v>
      </c>
      <c r="R59" s="232"/>
      <c r="S59" s="232" t="s">
        <v>1135</v>
      </c>
      <c r="T59" s="232" t="s">
        <v>34</v>
      </c>
      <c r="U59" s="232" t="s">
        <v>149</v>
      </c>
      <c r="V59" s="232" t="s">
        <v>1040</v>
      </c>
      <c r="W59" s="232" t="s">
        <v>75</v>
      </c>
      <c r="X59" s="232">
        <f t="shared" si="0"/>
        <v>10</v>
      </c>
    </row>
    <row r="60" spans="1:24" ht="154" x14ac:dyDescent="0.3">
      <c r="A60" s="232" t="s">
        <v>156</v>
      </c>
      <c r="B60" s="232" t="s">
        <v>152</v>
      </c>
      <c r="C60" s="232">
        <v>0</v>
      </c>
      <c r="D60" s="232">
        <v>0</v>
      </c>
      <c r="E60" s="232">
        <v>0</v>
      </c>
      <c r="F60" s="232">
        <v>0</v>
      </c>
      <c r="G60" s="232">
        <v>0</v>
      </c>
      <c r="H60" s="232">
        <v>1</v>
      </c>
      <c r="I60" s="232">
        <v>0</v>
      </c>
      <c r="J60" s="232">
        <v>1</v>
      </c>
      <c r="K60" s="232"/>
      <c r="L60" s="232" t="s">
        <v>148</v>
      </c>
      <c r="M60" s="232" t="s">
        <v>1040</v>
      </c>
      <c r="N60" s="232" t="s">
        <v>1320</v>
      </c>
      <c r="O60" s="232" t="s">
        <v>1032</v>
      </c>
      <c r="P60" s="232" t="s">
        <v>1032</v>
      </c>
      <c r="Q60" s="232" t="s">
        <v>1032</v>
      </c>
      <c r="R60" s="232"/>
      <c r="S60" s="232" t="s">
        <v>1135</v>
      </c>
      <c r="T60" s="232" t="s">
        <v>34</v>
      </c>
      <c r="U60" s="232" t="s">
        <v>149</v>
      </c>
      <c r="V60" s="232" t="s">
        <v>1040</v>
      </c>
      <c r="W60" s="232" t="s">
        <v>75</v>
      </c>
      <c r="X60" s="232">
        <f t="shared" si="0"/>
        <v>10</v>
      </c>
    </row>
    <row r="61" spans="1:24" ht="154" x14ac:dyDescent="0.3">
      <c r="A61" s="232" t="s">
        <v>159</v>
      </c>
      <c r="B61" s="232" t="s">
        <v>154</v>
      </c>
      <c r="C61" s="232">
        <v>0</v>
      </c>
      <c r="D61" s="232">
        <v>0</v>
      </c>
      <c r="E61" s="232">
        <v>0</v>
      </c>
      <c r="F61" s="232">
        <v>0</v>
      </c>
      <c r="G61" s="232">
        <v>0</v>
      </c>
      <c r="H61" s="232">
        <v>1</v>
      </c>
      <c r="I61" s="232">
        <v>0</v>
      </c>
      <c r="J61" s="232">
        <v>1</v>
      </c>
      <c r="K61" s="232"/>
      <c r="L61" s="232" t="s">
        <v>148</v>
      </c>
      <c r="M61" s="232" t="s">
        <v>1040</v>
      </c>
      <c r="N61" s="232" t="s">
        <v>1320</v>
      </c>
      <c r="O61" s="232" t="s">
        <v>1032</v>
      </c>
      <c r="P61" s="232" t="s">
        <v>1032</v>
      </c>
      <c r="Q61" s="232" t="s">
        <v>1032</v>
      </c>
      <c r="R61" s="232"/>
      <c r="S61" s="232" t="s">
        <v>1135</v>
      </c>
      <c r="T61" s="232" t="s">
        <v>34</v>
      </c>
      <c r="U61" s="232" t="s">
        <v>149</v>
      </c>
      <c r="V61" s="232" t="s">
        <v>1040</v>
      </c>
      <c r="W61" s="232" t="s">
        <v>75</v>
      </c>
      <c r="X61" s="232">
        <f t="shared" si="0"/>
        <v>10</v>
      </c>
    </row>
    <row r="62" spans="1:24" ht="154" x14ac:dyDescent="0.3">
      <c r="A62" s="232" t="s">
        <v>160</v>
      </c>
      <c r="B62" s="232" t="s">
        <v>157</v>
      </c>
      <c r="C62" s="232">
        <v>0</v>
      </c>
      <c r="D62" s="232">
        <v>0</v>
      </c>
      <c r="E62" s="232">
        <v>0</v>
      </c>
      <c r="F62" s="232">
        <v>0</v>
      </c>
      <c r="G62" s="232">
        <v>0</v>
      </c>
      <c r="H62" s="232">
        <v>1</v>
      </c>
      <c r="I62" s="232">
        <v>0</v>
      </c>
      <c r="J62" s="232">
        <v>1</v>
      </c>
      <c r="K62" s="232"/>
      <c r="L62" s="232" t="s">
        <v>148</v>
      </c>
      <c r="M62" s="232" t="s">
        <v>1040</v>
      </c>
      <c r="N62" s="232" t="s">
        <v>1320</v>
      </c>
      <c r="O62" s="232" t="s">
        <v>1032</v>
      </c>
      <c r="P62" s="232" t="s">
        <v>158</v>
      </c>
      <c r="Q62" s="232" t="s">
        <v>1032</v>
      </c>
      <c r="R62" s="232"/>
      <c r="S62" s="232" t="s">
        <v>1135</v>
      </c>
      <c r="T62" s="232" t="s">
        <v>34</v>
      </c>
      <c r="U62" s="232" t="s">
        <v>149</v>
      </c>
      <c r="V62" s="232" t="s">
        <v>1040</v>
      </c>
      <c r="W62" s="232" t="s">
        <v>75</v>
      </c>
      <c r="X62" s="232">
        <f t="shared" si="0"/>
        <v>10</v>
      </c>
    </row>
    <row r="63" spans="1:24" ht="154" x14ac:dyDescent="0.3">
      <c r="A63" s="232" t="s">
        <v>163</v>
      </c>
      <c r="B63" s="232" t="s">
        <v>161</v>
      </c>
      <c r="C63" s="232">
        <v>0</v>
      </c>
      <c r="D63" s="232">
        <v>0</v>
      </c>
      <c r="E63" s="232">
        <v>0</v>
      </c>
      <c r="F63" s="232">
        <v>0</v>
      </c>
      <c r="G63" s="232">
        <v>0</v>
      </c>
      <c r="H63" s="232">
        <v>1</v>
      </c>
      <c r="I63" s="232">
        <v>0</v>
      </c>
      <c r="J63" s="232">
        <v>1</v>
      </c>
      <c r="K63" s="232"/>
      <c r="L63" s="232" t="s">
        <v>148</v>
      </c>
      <c r="M63" s="232" t="s">
        <v>1040</v>
      </c>
      <c r="N63" s="232" t="s">
        <v>1320</v>
      </c>
      <c r="O63" s="232" t="s">
        <v>1032</v>
      </c>
      <c r="P63" s="232" t="s">
        <v>162</v>
      </c>
      <c r="Q63" s="232" t="s">
        <v>1032</v>
      </c>
      <c r="R63" s="232"/>
      <c r="S63" s="232" t="s">
        <v>1135</v>
      </c>
      <c r="T63" s="232" t="s">
        <v>34</v>
      </c>
      <c r="U63" s="232" t="s">
        <v>149</v>
      </c>
      <c r="V63" s="232" t="s">
        <v>1040</v>
      </c>
      <c r="W63" s="232" t="s">
        <v>75</v>
      </c>
      <c r="X63" s="232">
        <f t="shared" si="0"/>
        <v>10</v>
      </c>
    </row>
    <row r="64" spans="1:24" ht="210" x14ac:dyDescent="0.3">
      <c r="A64" s="232" t="s">
        <v>164</v>
      </c>
      <c r="B64" s="232" t="s">
        <v>1045</v>
      </c>
      <c r="C64" s="232">
        <v>0</v>
      </c>
      <c r="D64" s="232">
        <v>0</v>
      </c>
      <c r="E64" s="232">
        <v>0</v>
      </c>
      <c r="F64" s="232">
        <v>1</v>
      </c>
      <c r="G64" s="232">
        <v>0</v>
      </c>
      <c r="H64" s="232">
        <v>0</v>
      </c>
      <c r="I64" s="232">
        <v>0</v>
      </c>
      <c r="J64" s="232">
        <v>1</v>
      </c>
      <c r="K64" s="232"/>
      <c r="L64" s="232" t="s">
        <v>165</v>
      </c>
      <c r="M64" s="232" t="s">
        <v>1040</v>
      </c>
      <c r="N64" s="232" t="s">
        <v>1321</v>
      </c>
      <c r="O64" s="232" t="s">
        <v>166</v>
      </c>
      <c r="P64" s="232" t="s">
        <v>167</v>
      </c>
      <c r="Q64" s="232" t="s">
        <v>168</v>
      </c>
      <c r="R64" s="232"/>
      <c r="S64" s="232" t="s">
        <v>1281</v>
      </c>
      <c r="T64" s="232" t="s">
        <v>1322</v>
      </c>
      <c r="U64" s="232" t="s">
        <v>40</v>
      </c>
      <c r="V64" s="232" t="s">
        <v>1040</v>
      </c>
      <c r="W64" s="232" t="s">
        <v>46</v>
      </c>
      <c r="X64" s="232">
        <f t="shared" si="0"/>
        <v>20</v>
      </c>
    </row>
    <row r="65" spans="1:24" ht="210" x14ac:dyDescent="0.3">
      <c r="A65" s="232" t="s">
        <v>169</v>
      </c>
      <c r="B65" s="232" t="s">
        <v>1046</v>
      </c>
      <c r="C65" s="232">
        <v>0</v>
      </c>
      <c r="D65" s="232">
        <v>0</v>
      </c>
      <c r="E65" s="232">
        <v>0</v>
      </c>
      <c r="F65" s="232">
        <v>1</v>
      </c>
      <c r="G65" s="232">
        <v>0</v>
      </c>
      <c r="H65" s="232">
        <v>0</v>
      </c>
      <c r="I65" s="232">
        <v>0</v>
      </c>
      <c r="J65" s="232">
        <v>0</v>
      </c>
      <c r="K65" s="232"/>
      <c r="L65" s="232" t="s">
        <v>165</v>
      </c>
      <c r="M65" s="232" t="s">
        <v>1040</v>
      </c>
      <c r="N65" s="232" t="s">
        <v>1321</v>
      </c>
      <c r="O65" s="232" t="s">
        <v>1032</v>
      </c>
      <c r="P65" s="232" t="s">
        <v>179</v>
      </c>
      <c r="Q65" s="232" t="s">
        <v>180</v>
      </c>
      <c r="R65" s="232"/>
      <c r="S65" s="232" t="s">
        <v>1323</v>
      </c>
      <c r="T65" s="232" t="s">
        <v>1324</v>
      </c>
      <c r="U65" s="232" t="s">
        <v>40</v>
      </c>
      <c r="V65" s="232" t="s">
        <v>1040</v>
      </c>
      <c r="W65" s="232" t="s">
        <v>46</v>
      </c>
      <c r="X65" s="232">
        <f t="shared" si="0"/>
        <v>20</v>
      </c>
    </row>
    <row r="66" spans="1:24" ht="210" x14ac:dyDescent="0.3">
      <c r="A66" s="232" t="s">
        <v>173</v>
      </c>
      <c r="B66" s="232" t="s">
        <v>1047</v>
      </c>
      <c r="C66" s="232">
        <v>0</v>
      </c>
      <c r="D66" s="232">
        <v>0</v>
      </c>
      <c r="E66" s="232">
        <v>0</v>
      </c>
      <c r="F66" s="232">
        <v>1</v>
      </c>
      <c r="G66" s="232">
        <v>0</v>
      </c>
      <c r="H66" s="232">
        <v>0</v>
      </c>
      <c r="I66" s="232">
        <v>0</v>
      </c>
      <c r="J66" s="232">
        <v>0</v>
      </c>
      <c r="K66" s="232"/>
      <c r="L66" s="232" t="s">
        <v>165</v>
      </c>
      <c r="M66" s="232" t="s">
        <v>1040</v>
      </c>
      <c r="N66" s="232" t="s">
        <v>1321</v>
      </c>
      <c r="O66" s="232" t="s">
        <v>187</v>
      </c>
      <c r="P66" s="232" t="s">
        <v>188</v>
      </c>
      <c r="Q66" s="232" t="s">
        <v>189</v>
      </c>
      <c r="R66" s="232"/>
      <c r="S66" s="232" t="s">
        <v>1469</v>
      </c>
      <c r="T66" s="232" t="s">
        <v>1325</v>
      </c>
      <c r="U66" s="232" t="s">
        <v>40</v>
      </c>
      <c r="V66" s="232" t="s">
        <v>1040</v>
      </c>
      <c r="W66" s="232" t="s">
        <v>46</v>
      </c>
      <c r="X66" s="232">
        <f t="shared" ref="X66:X128" si="1">IF($W66="Critical Importance",20,IF($W66="Minor Importance",5,10))</f>
        <v>20</v>
      </c>
    </row>
    <row r="67" spans="1:24" ht="84" x14ac:dyDescent="0.3">
      <c r="A67" s="232" t="s">
        <v>178</v>
      </c>
      <c r="B67" s="232" t="s">
        <v>197</v>
      </c>
      <c r="C67" s="232">
        <v>0</v>
      </c>
      <c r="D67" s="232">
        <v>0</v>
      </c>
      <c r="E67" s="232">
        <v>0</v>
      </c>
      <c r="F67" s="232">
        <v>1</v>
      </c>
      <c r="G67" s="232">
        <v>0</v>
      </c>
      <c r="H67" s="232">
        <v>0</v>
      </c>
      <c r="I67" s="232">
        <v>0</v>
      </c>
      <c r="J67" s="232">
        <v>1</v>
      </c>
      <c r="K67" s="232"/>
      <c r="L67" s="232" t="s">
        <v>165</v>
      </c>
      <c r="M67" s="232" t="s">
        <v>1040</v>
      </c>
      <c r="N67" s="232" t="s">
        <v>1321</v>
      </c>
      <c r="O67" s="232" t="s">
        <v>1032</v>
      </c>
      <c r="P67" s="232" t="s">
        <v>198</v>
      </c>
      <c r="Q67" s="232" t="s">
        <v>199</v>
      </c>
      <c r="R67" s="232"/>
      <c r="S67" s="232" t="s">
        <v>200</v>
      </c>
      <c r="T67" s="232" t="s">
        <v>1326</v>
      </c>
      <c r="U67" s="232" t="s">
        <v>149</v>
      </c>
      <c r="V67" s="232" t="s">
        <v>1040</v>
      </c>
      <c r="W67" s="232" t="s">
        <v>46</v>
      </c>
      <c r="X67" s="232">
        <f t="shared" si="1"/>
        <v>20</v>
      </c>
    </row>
    <row r="68" spans="1:24" ht="238" x14ac:dyDescent="0.3">
      <c r="A68" s="232" t="s">
        <v>181</v>
      </c>
      <c r="B68" s="232" t="s">
        <v>1048</v>
      </c>
      <c r="C68" s="232">
        <v>0</v>
      </c>
      <c r="D68" s="232">
        <v>0</v>
      </c>
      <c r="E68" s="232">
        <v>0</v>
      </c>
      <c r="F68" s="232">
        <v>1</v>
      </c>
      <c r="G68" s="232">
        <v>0</v>
      </c>
      <c r="H68" s="232">
        <v>0</v>
      </c>
      <c r="I68" s="232">
        <v>0</v>
      </c>
      <c r="J68" s="232">
        <v>0</v>
      </c>
      <c r="K68" s="232"/>
      <c r="L68" s="232" t="s">
        <v>165</v>
      </c>
      <c r="M68" s="232" t="s">
        <v>1040</v>
      </c>
      <c r="N68" s="232" t="s">
        <v>1321</v>
      </c>
      <c r="O68" s="232" t="s">
        <v>1032</v>
      </c>
      <c r="P68" s="232" t="s">
        <v>202</v>
      </c>
      <c r="Q68" s="232" t="s">
        <v>203</v>
      </c>
      <c r="R68" s="232"/>
      <c r="S68" s="232" t="s">
        <v>1327</v>
      </c>
      <c r="T68" s="232" t="s">
        <v>1328</v>
      </c>
      <c r="U68" s="232" t="s">
        <v>40</v>
      </c>
      <c r="V68" s="232" t="s">
        <v>1040</v>
      </c>
      <c r="W68" s="232" t="s">
        <v>46</v>
      </c>
      <c r="X68" s="232">
        <f t="shared" si="1"/>
        <v>20</v>
      </c>
    </row>
    <row r="69" spans="1:24" ht="224" x14ac:dyDescent="0.3">
      <c r="A69" s="232" t="s">
        <v>186</v>
      </c>
      <c r="B69" s="232" t="s">
        <v>1049</v>
      </c>
      <c r="C69" s="232">
        <v>0</v>
      </c>
      <c r="D69" s="232">
        <v>0</v>
      </c>
      <c r="E69" s="232">
        <v>0</v>
      </c>
      <c r="F69" s="232">
        <v>1</v>
      </c>
      <c r="G69" s="232">
        <v>0</v>
      </c>
      <c r="H69" s="232">
        <v>0</v>
      </c>
      <c r="I69" s="232">
        <v>0</v>
      </c>
      <c r="J69" s="232">
        <v>0</v>
      </c>
      <c r="K69" s="232"/>
      <c r="L69" s="232" t="s">
        <v>165</v>
      </c>
      <c r="M69" s="232" t="s">
        <v>1040</v>
      </c>
      <c r="N69" s="232" t="s">
        <v>1321</v>
      </c>
      <c r="O69" s="232" t="s">
        <v>1032</v>
      </c>
      <c r="P69" s="232" t="s">
        <v>217</v>
      </c>
      <c r="Q69" s="232" t="s">
        <v>218</v>
      </c>
      <c r="R69" s="232"/>
      <c r="S69" s="232" t="s">
        <v>1329</v>
      </c>
      <c r="T69" s="232" t="s">
        <v>1330</v>
      </c>
      <c r="U69" s="232" t="s">
        <v>40</v>
      </c>
      <c r="V69" s="232" t="s">
        <v>1040</v>
      </c>
      <c r="W69" s="232" t="s">
        <v>46</v>
      </c>
      <c r="X69" s="232">
        <f t="shared" si="1"/>
        <v>20</v>
      </c>
    </row>
    <row r="70" spans="1:24" ht="140" x14ac:dyDescent="0.3">
      <c r="A70" s="232" t="s">
        <v>190</v>
      </c>
      <c r="B70" s="232" t="s">
        <v>1050</v>
      </c>
      <c r="C70" s="232">
        <v>0</v>
      </c>
      <c r="D70" s="232">
        <v>0</v>
      </c>
      <c r="E70" s="232">
        <v>0</v>
      </c>
      <c r="F70" s="232">
        <v>1</v>
      </c>
      <c r="G70" s="232">
        <v>0</v>
      </c>
      <c r="H70" s="232">
        <v>0</v>
      </c>
      <c r="I70" s="232">
        <v>0</v>
      </c>
      <c r="J70" s="232">
        <v>0</v>
      </c>
      <c r="K70" s="232"/>
      <c r="L70" s="232" t="s">
        <v>165</v>
      </c>
      <c r="M70" s="232" t="s">
        <v>1040</v>
      </c>
      <c r="N70" s="232" t="s">
        <v>1321</v>
      </c>
      <c r="O70" s="232" t="s">
        <v>1032</v>
      </c>
      <c r="P70" s="232" t="s">
        <v>220</v>
      </c>
      <c r="Q70" s="232" t="s">
        <v>221</v>
      </c>
      <c r="R70" s="232"/>
      <c r="S70" s="232" t="s">
        <v>1331</v>
      </c>
      <c r="T70" s="232" t="s">
        <v>1332</v>
      </c>
      <c r="U70" s="232" t="s">
        <v>40</v>
      </c>
      <c r="V70" s="232" t="s">
        <v>1040</v>
      </c>
      <c r="W70" s="232" t="s">
        <v>46</v>
      </c>
      <c r="X70" s="232">
        <f t="shared" si="1"/>
        <v>20</v>
      </c>
    </row>
    <row r="71" spans="1:24" ht="210" x14ac:dyDescent="0.3">
      <c r="A71" s="232" t="s">
        <v>196</v>
      </c>
      <c r="B71" s="232" t="s">
        <v>170</v>
      </c>
      <c r="C71" s="232">
        <v>0</v>
      </c>
      <c r="D71" s="232">
        <v>0</v>
      </c>
      <c r="E71" s="232">
        <v>0</v>
      </c>
      <c r="F71" s="232">
        <v>1</v>
      </c>
      <c r="G71" s="232">
        <v>0</v>
      </c>
      <c r="H71" s="232">
        <v>0</v>
      </c>
      <c r="I71" s="232">
        <v>0</v>
      </c>
      <c r="J71" s="232">
        <v>1</v>
      </c>
      <c r="K71" s="232"/>
      <c r="L71" s="232" t="s">
        <v>165</v>
      </c>
      <c r="M71" s="232" t="s">
        <v>1040</v>
      </c>
      <c r="N71" s="232" t="s">
        <v>1321</v>
      </c>
      <c r="O71" s="232" t="s">
        <v>171</v>
      </c>
      <c r="P71" s="232" t="s">
        <v>172</v>
      </c>
      <c r="Q71" s="232" t="s">
        <v>1032</v>
      </c>
      <c r="R71" s="232"/>
      <c r="S71" s="232" t="s">
        <v>1333</v>
      </c>
      <c r="T71" s="232" t="s">
        <v>1334</v>
      </c>
      <c r="U71" s="232" t="s">
        <v>40</v>
      </c>
      <c r="V71" s="232" t="s">
        <v>1040</v>
      </c>
      <c r="W71" s="232" t="s">
        <v>75</v>
      </c>
      <c r="X71" s="232">
        <f t="shared" si="1"/>
        <v>10</v>
      </c>
    </row>
    <row r="72" spans="1:24" ht="210" x14ac:dyDescent="0.3">
      <c r="A72" s="232" t="s">
        <v>201</v>
      </c>
      <c r="B72" s="232" t="s">
        <v>174</v>
      </c>
      <c r="C72" s="232">
        <v>0</v>
      </c>
      <c r="D72" s="232">
        <v>0</v>
      </c>
      <c r="E72" s="232">
        <v>0</v>
      </c>
      <c r="F72" s="232">
        <v>1</v>
      </c>
      <c r="G72" s="232">
        <v>0</v>
      </c>
      <c r="H72" s="232">
        <v>0</v>
      </c>
      <c r="I72" s="232">
        <v>0</v>
      </c>
      <c r="J72" s="232">
        <v>0</v>
      </c>
      <c r="K72" s="232"/>
      <c r="L72" s="232" t="s">
        <v>165</v>
      </c>
      <c r="M72" s="232" t="s">
        <v>1040</v>
      </c>
      <c r="N72" s="232" t="s">
        <v>1321</v>
      </c>
      <c r="O72" s="232" t="s">
        <v>1032</v>
      </c>
      <c r="P72" s="232" t="s">
        <v>175</v>
      </c>
      <c r="Q72" s="232" t="s">
        <v>176</v>
      </c>
      <c r="R72" s="232"/>
      <c r="S72" s="232" t="s">
        <v>177</v>
      </c>
      <c r="T72" s="232" t="s">
        <v>1289</v>
      </c>
      <c r="U72" s="232" t="s">
        <v>40</v>
      </c>
      <c r="V72" s="232" t="s">
        <v>1040</v>
      </c>
      <c r="W72" s="232" t="s">
        <v>75</v>
      </c>
      <c r="X72" s="232">
        <f t="shared" si="1"/>
        <v>10</v>
      </c>
    </row>
    <row r="73" spans="1:24" ht="252" x14ac:dyDescent="0.3">
      <c r="A73" s="232" t="s">
        <v>204</v>
      </c>
      <c r="B73" s="232" t="s">
        <v>182</v>
      </c>
      <c r="C73" s="232">
        <v>0</v>
      </c>
      <c r="D73" s="232">
        <v>0</v>
      </c>
      <c r="E73" s="232">
        <v>0</v>
      </c>
      <c r="F73" s="232">
        <v>1</v>
      </c>
      <c r="G73" s="232">
        <v>0</v>
      </c>
      <c r="H73" s="232">
        <v>0</v>
      </c>
      <c r="I73" s="232">
        <v>0</v>
      </c>
      <c r="J73" s="232">
        <v>0</v>
      </c>
      <c r="K73" s="232"/>
      <c r="L73" s="232" t="s">
        <v>165</v>
      </c>
      <c r="M73" s="232" t="s">
        <v>1040</v>
      </c>
      <c r="N73" s="232" t="s">
        <v>1321</v>
      </c>
      <c r="O73" s="232" t="s">
        <v>183</v>
      </c>
      <c r="P73" s="232" t="s">
        <v>90</v>
      </c>
      <c r="Q73" s="232" t="s">
        <v>184</v>
      </c>
      <c r="R73" s="232"/>
      <c r="S73" s="232" t="s">
        <v>1335</v>
      </c>
      <c r="T73" s="232" t="s">
        <v>185</v>
      </c>
      <c r="U73" s="232" t="s">
        <v>40</v>
      </c>
      <c r="V73" s="232" t="s">
        <v>1040</v>
      </c>
      <c r="W73" s="232" t="s">
        <v>75</v>
      </c>
      <c r="X73" s="232">
        <f t="shared" si="1"/>
        <v>10</v>
      </c>
    </row>
    <row r="74" spans="1:24" ht="182" x14ac:dyDescent="0.3">
      <c r="A74" s="232" t="s">
        <v>208</v>
      </c>
      <c r="B74" s="232" t="s">
        <v>209</v>
      </c>
      <c r="C74" s="232">
        <v>0</v>
      </c>
      <c r="D74" s="232">
        <v>0</v>
      </c>
      <c r="E74" s="232">
        <v>0</v>
      </c>
      <c r="F74" s="232">
        <v>1</v>
      </c>
      <c r="G74" s="232">
        <v>0</v>
      </c>
      <c r="H74" s="232">
        <v>0</v>
      </c>
      <c r="I74" s="232">
        <v>0</v>
      </c>
      <c r="J74" s="232">
        <v>0</v>
      </c>
      <c r="K74" s="232"/>
      <c r="L74" s="232" t="s">
        <v>165</v>
      </c>
      <c r="M74" s="232" t="s">
        <v>1040</v>
      </c>
      <c r="N74" s="232" t="s">
        <v>1321</v>
      </c>
      <c r="O74" s="232" t="s">
        <v>1032</v>
      </c>
      <c r="P74" s="232" t="s">
        <v>210</v>
      </c>
      <c r="Q74" s="232" t="s">
        <v>211</v>
      </c>
      <c r="R74" s="232"/>
      <c r="S74" s="232" t="s">
        <v>1336</v>
      </c>
      <c r="T74" s="232" t="s">
        <v>1337</v>
      </c>
      <c r="U74" s="232" t="s">
        <v>40</v>
      </c>
      <c r="V74" s="232" t="s">
        <v>1040</v>
      </c>
      <c r="W74" s="232" t="s">
        <v>75</v>
      </c>
      <c r="X74" s="232">
        <f t="shared" si="1"/>
        <v>10</v>
      </c>
    </row>
    <row r="75" spans="1:24" ht="182" x14ac:dyDescent="0.3">
      <c r="A75" s="232" t="s">
        <v>212</v>
      </c>
      <c r="B75" s="232" t="s">
        <v>213</v>
      </c>
      <c r="C75" s="232">
        <v>0</v>
      </c>
      <c r="D75" s="232">
        <v>0</v>
      </c>
      <c r="E75" s="232">
        <v>0</v>
      </c>
      <c r="F75" s="232">
        <v>1</v>
      </c>
      <c r="G75" s="232">
        <v>0</v>
      </c>
      <c r="H75" s="232">
        <v>0</v>
      </c>
      <c r="I75" s="232">
        <v>0</v>
      </c>
      <c r="J75" s="232">
        <v>0</v>
      </c>
      <c r="K75" s="232"/>
      <c r="L75" s="232" t="s">
        <v>165</v>
      </c>
      <c r="M75" s="232" t="s">
        <v>1040</v>
      </c>
      <c r="N75" s="232" t="s">
        <v>1321</v>
      </c>
      <c r="O75" s="232" t="s">
        <v>1032</v>
      </c>
      <c r="P75" s="232" t="s">
        <v>214</v>
      </c>
      <c r="Q75" s="232" t="s">
        <v>215</v>
      </c>
      <c r="R75" s="232"/>
      <c r="S75" s="232" t="s">
        <v>1336</v>
      </c>
      <c r="T75" s="232" t="s">
        <v>1337</v>
      </c>
      <c r="U75" s="232" t="s">
        <v>40</v>
      </c>
      <c r="V75" s="232" t="s">
        <v>1040</v>
      </c>
      <c r="W75" s="232" t="s">
        <v>75</v>
      </c>
      <c r="X75" s="232">
        <f t="shared" si="1"/>
        <v>10</v>
      </c>
    </row>
    <row r="76" spans="1:24" ht="126" x14ac:dyDescent="0.3">
      <c r="A76" s="232" t="s">
        <v>216</v>
      </c>
      <c r="B76" s="232" t="s">
        <v>191</v>
      </c>
      <c r="C76" s="232">
        <v>0</v>
      </c>
      <c r="D76" s="232">
        <v>0</v>
      </c>
      <c r="E76" s="232">
        <v>0</v>
      </c>
      <c r="F76" s="232">
        <v>1</v>
      </c>
      <c r="G76" s="232">
        <v>0</v>
      </c>
      <c r="H76" s="232">
        <v>0</v>
      </c>
      <c r="I76" s="232">
        <v>0</v>
      </c>
      <c r="J76" s="232">
        <v>0</v>
      </c>
      <c r="K76" s="232"/>
      <c r="L76" s="232" t="s">
        <v>165</v>
      </c>
      <c r="M76" s="232" t="s">
        <v>1040</v>
      </c>
      <c r="N76" s="232" t="s">
        <v>1321</v>
      </c>
      <c r="O76" s="232" t="s">
        <v>192</v>
      </c>
      <c r="P76" s="232" t="s">
        <v>193</v>
      </c>
      <c r="Q76" s="232" t="s">
        <v>194</v>
      </c>
      <c r="R76" s="232" t="s">
        <v>1615</v>
      </c>
      <c r="S76" s="232" t="s">
        <v>195</v>
      </c>
      <c r="T76" s="232" t="s">
        <v>1338</v>
      </c>
      <c r="U76" s="232" t="s">
        <v>40</v>
      </c>
      <c r="V76" s="232" t="s">
        <v>1040</v>
      </c>
      <c r="W76" s="232" t="s">
        <v>41</v>
      </c>
      <c r="X76" s="232">
        <f t="shared" si="1"/>
        <v>5</v>
      </c>
    </row>
    <row r="77" spans="1:24" ht="182" x14ac:dyDescent="0.3">
      <c r="A77" s="232" t="s">
        <v>219</v>
      </c>
      <c r="B77" s="232" t="s">
        <v>205</v>
      </c>
      <c r="C77" s="232">
        <v>0</v>
      </c>
      <c r="D77" s="232">
        <v>0</v>
      </c>
      <c r="E77" s="232">
        <v>0</v>
      </c>
      <c r="F77" s="232">
        <v>1</v>
      </c>
      <c r="G77" s="232">
        <v>0</v>
      </c>
      <c r="H77" s="232">
        <v>0</v>
      </c>
      <c r="I77" s="232">
        <v>0</v>
      </c>
      <c r="J77" s="232">
        <v>0</v>
      </c>
      <c r="K77" s="232"/>
      <c r="L77" s="232" t="s">
        <v>165</v>
      </c>
      <c r="M77" s="232" t="s">
        <v>1040</v>
      </c>
      <c r="N77" s="232" t="s">
        <v>1321</v>
      </c>
      <c r="O77" s="232" t="s">
        <v>1032</v>
      </c>
      <c r="P77" s="232" t="s">
        <v>206</v>
      </c>
      <c r="Q77" s="232" t="s">
        <v>207</v>
      </c>
      <c r="R77" s="232"/>
      <c r="S77" s="232" t="s">
        <v>1339</v>
      </c>
      <c r="T77" s="232" t="s">
        <v>1340</v>
      </c>
      <c r="U77" s="232" t="s">
        <v>40</v>
      </c>
      <c r="V77" s="232" t="s">
        <v>1040</v>
      </c>
      <c r="W77" s="232" t="s">
        <v>41</v>
      </c>
      <c r="X77" s="232">
        <f t="shared" si="1"/>
        <v>5</v>
      </c>
    </row>
    <row r="78" spans="1:24" ht="182" x14ac:dyDescent="0.3">
      <c r="A78" s="232" t="s">
        <v>222</v>
      </c>
      <c r="B78" s="232" t="s">
        <v>1051</v>
      </c>
      <c r="C78" s="232">
        <v>0</v>
      </c>
      <c r="D78" s="232">
        <v>0</v>
      </c>
      <c r="E78" s="232">
        <v>1</v>
      </c>
      <c r="F78" s="232">
        <v>0</v>
      </c>
      <c r="G78" s="232">
        <v>0</v>
      </c>
      <c r="H78" s="232">
        <v>0</v>
      </c>
      <c r="I78" s="232">
        <v>0</v>
      </c>
      <c r="J78" s="232">
        <v>1</v>
      </c>
      <c r="K78" s="232"/>
      <c r="L78" s="232" t="s">
        <v>4</v>
      </c>
      <c r="M78" s="232" t="s">
        <v>1040</v>
      </c>
      <c r="N78" s="232" t="s">
        <v>1321</v>
      </c>
      <c r="O78" s="232" t="s">
        <v>1136</v>
      </c>
      <c r="P78" s="232" t="s">
        <v>223</v>
      </c>
      <c r="Q78" s="232" t="s">
        <v>224</v>
      </c>
      <c r="R78" s="232"/>
      <c r="S78" s="232" t="s">
        <v>225</v>
      </c>
      <c r="T78" s="232" t="s">
        <v>226</v>
      </c>
      <c r="U78" s="232" t="s">
        <v>40</v>
      </c>
      <c r="V78" s="232" t="s">
        <v>1040</v>
      </c>
      <c r="W78" s="232" t="s">
        <v>46</v>
      </c>
      <c r="X78" s="232">
        <f t="shared" si="1"/>
        <v>20</v>
      </c>
    </row>
    <row r="79" spans="1:24" ht="168" x14ac:dyDescent="0.3">
      <c r="A79" s="232" t="s">
        <v>227</v>
      </c>
      <c r="B79" s="232" t="s">
        <v>1620</v>
      </c>
      <c r="C79" s="232">
        <v>0</v>
      </c>
      <c r="D79" s="232">
        <v>0</v>
      </c>
      <c r="E79" s="232">
        <v>1</v>
      </c>
      <c r="F79" s="232">
        <v>0</v>
      </c>
      <c r="G79" s="232">
        <v>0</v>
      </c>
      <c r="H79" s="232">
        <v>0</v>
      </c>
      <c r="I79" s="232">
        <v>0</v>
      </c>
      <c r="J79" s="232">
        <v>1</v>
      </c>
      <c r="K79" s="232"/>
      <c r="L79" s="232" t="s">
        <v>4</v>
      </c>
      <c r="M79" s="232" t="s">
        <v>1040</v>
      </c>
      <c r="N79" s="232" t="s">
        <v>1321</v>
      </c>
      <c r="O79" s="232" t="s">
        <v>1032</v>
      </c>
      <c r="P79" s="232" t="s">
        <v>228</v>
      </c>
      <c r="Q79" s="232" t="s">
        <v>229</v>
      </c>
      <c r="R79" s="232"/>
      <c r="S79" s="232" t="s">
        <v>1627</v>
      </c>
      <c r="T79" s="232" t="s">
        <v>230</v>
      </c>
      <c r="U79" s="232" t="s">
        <v>40</v>
      </c>
      <c r="V79" s="232" t="s">
        <v>1040</v>
      </c>
      <c r="W79" s="232" t="s">
        <v>46</v>
      </c>
      <c r="X79" s="232">
        <f t="shared" si="1"/>
        <v>20</v>
      </c>
    </row>
    <row r="80" spans="1:24" ht="154" x14ac:dyDescent="0.3">
      <c r="A80" s="232" t="s">
        <v>231</v>
      </c>
      <c r="B80" s="232" t="s">
        <v>1621</v>
      </c>
      <c r="C80" s="232">
        <v>0</v>
      </c>
      <c r="D80" s="232">
        <v>0</v>
      </c>
      <c r="E80" s="232">
        <v>1</v>
      </c>
      <c r="F80" s="232">
        <v>0</v>
      </c>
      <c r="G80" s="232">
        <v>0</v>
      </c>
      <c r="H80" s="232">
        <v>0</v>
      </c>
      <c r="I80" s="232">
        <v>0</v>
      </c>
      <c r="J80" s="232">
        <v>0</v>
      </c>
      <c r="K80" s="232"/>
      <c r="L80" s="232" t="s">
        <v>4</v>
      </c>
      <c r="M80" s="232" t="s">
        <v>1040</v>
      </c>
      <c r="N80" s="232" t="s">
        <v>1321</v>
      </c>
      <c r="O80" s="232" t="s">
        <v>1032</v>
      </c>
      <c r="P80" s="232" t="s">
        <v>233</v>
      </c>
      <c r="Q80" s="232" t="s">
        <v>234</v>
      </c>
      <c r="R80" s="232"/>
      <c r="S80" s="232" t="s">
        <v>1628</v>
      </c>
      <c r="T80" s="232" t="s">
        <v>235</v>
      </c>
      <c r="U80" s="232" t="s">
        <v>40</v>
      </c>
      <c r="V80" s="232" t="s">
        <v>1040</v>
      </c>
      <c r="W80" s="232" t="s">
        <v>46</v>
      </c>
      <c r="X80" s="232">
        <f t="shared" si="1"/>
        <v>20</v>
      </c>
    </row>
    <row r="81" spans="1:24" ht="154" x14ac:dyDescent="0.3">
      <c r="A81" s="232" t="s">
        <v>232</v>
      </c>
      <c r="B81" s="232" t="s">
        <v>1622</v>
      </c>
      <c r="C81" s="232">
        <v>0</v>
      </c>
      <c r="D81" s="232">
        <v>0</v>
      </c>
      <c r="E81" s="232">
        <v>1</v>
      </c>
      <c r="F81" s="232">
        <v>0</v>
      </c>
      <c r="G81" s="232">
        <v>0</v>
      </c>
      <c r="H81" s="232">
        <v>0</v>
      </c>
      <c r="I81" s="232">
        <v>0</v>
      </c>
      <c r="J81" s="232">
        <v>0</v>
      </c>
      <c r="K81" s="232"/>
      <c r="L81" s="232" t="s">
        <v>4</v>
      </c>
      <c r="M81" s="232" t="s">
        <v>1040</v>
      </c>
      <c r="N81" s="232" t="s">
        <v>1321</v>
      </c>
      <c r="O81" s="232" t="s">
        <v>1245</v>
      </c>
      <c r="P81" s="232" t="s">
        <v>1032</v>
      </c>
      <c r="Q81" s="232" t="s">
        <v>237</v>
      </c>
      <c r="R81" s="232"/>
      <c r="S81" s="232" t="s">
        <v>1628</v>
      </c>
      <c r="T81" s="232" t="s">
        <v>238</v>
      </c>
      <c r="U81" s="232" t="s">
        <v>149</v>
      </c>
      <c r="V81" s="232" t="s">
        <v>1040</v>
      </c>
      <c r="W81" s="232" t="s">
        <v>46</v>
      </c>
      <c r="X81" s="232">
        <f t="shared" si="1"/>
        <v>20</v>
      </c>
    </row>
    <row r="82" spans="1:24" ht="168" x14ac:dyDescent="0.3">
      <c r="A82" s="232" t="s">
        <v>236</v>
      </c>
      <c r="B82" s="232" t="s">
        <v>1623</v>
      </c>
      <c r="C82" s="232">
        <v>0</v>
      </c>
      <c r="D82" s="232">
        <v>0</v>
      </c>
      <c r="E82" s="232">
        <v>1</v>
      </c>
      <c r="F82" s="232">
        <v>0</v>
      </c>
      <c r="G82" s="232">
        <v>0</v>
      </c>
      <c r="H82" s="232">
        <v>0</v>
      </c>
      <c r="I82" s="232">
        <v>0</v>
      </c>
      <c r="J82" s="232">
        <v>0</v>
      </c>
      <c r="K82" s="232"/>
      <c r="L82" s="232" t="s">
        <v>4</v>
      </c>
      <c r="M82" s="232" t="s">
        <v>1040</v>
      </c>
      <c r="N82" s="232" t="s">
        <v>1321</v>
      </c>
      <c r="O82" s="232" t="s">
        <v>1032</v>
      </c>
      <c r="P82" s="232" t="s">
        <v>240</v>
      </c>
      <c r="Q82" s="232" t="s">
        <v>241</v>
      </c>
      <c r="R82" s="232"/>
      <c r="S82" s="232" t="s">
        <v>1629</v>
      </c>
      <c r="T82" s="232" t="s">
        <v>1341</v>
      </c>
      <c r="U82" s="232" t="s">
        <v>40</v>
      </c>
      <c r="V82" s="232" t="s">
        <v>1040</v>
      </c>
      <c r="W82" s="232" t="s">
        <v>46</v>
      </c>
      <c r="X82" s="232">
        <f t="shared" si="1"/>
        <v>20</v>
      </c>
    </row>
    <row r="83" spans="1:24" ht="140" x14ac:dyDescent="0.3">
      <c r="A83" s="232" t="s">
        <v>239</v>
      </c>
      <c r="B83" s="232" t="s">
        <v>1052</v>
      </c>
      <c r="C83" s="232">
        <v>0</v>
      </c>
      <c r="D83" s="232">
        <v>0</v>
      </c>
      <c r="E83" s="232">
        <v>1</v>
      </c>
      <c r="F83" s="232">
        <v>0</v>
      </c>
      <c r="G83" s="232">
        <v>0</v>
      </c>
      <c r="H83" s="232">
        <v>0</v>
      </c>
      <c r="I83" s="232">
        <v>0</v>
      </c>
      <c r="J83" s="232">
        <v>0</v>
      </c>
      <c r="K83" s="232"/>
      <c r="L83" s="232" t="s">
        <v>4</v>
      </c>
      <c r="M83" s="232" t="s">
        <v>1040</v>
      </c>
      <c r="N83" s="232" t="s">
        <v>1321</v>
      </c>
      <c r="O83" s="232" t="s">
        <v>1032</v>
      </c>
      <c r="P83" s="232" t="s">
        <v>243</v>
      </c>
      <c r="Q83" s="232" t="s">
        <v>244</v>
      </c>
      <c r="R83" s="232"/>
      <c r="S83" s="232" t="s">
        <v>1342</v>
      </c>
      <c r="T83" s="232" t="s">
        <v>1343</v>
      </c>
      <c r="U83" s="232" t="s">
        <v>40</v>
      </c>
      <c r="V83" s="232" t="s">
        <v>1040</v>
      </c>
      <c r="W83" s="232" t="s">
        <v>46</v>
      </c>
      <c r="X83" s="232">
        <f t="shared" si="1"/>
        <v>20</v>
      </c>
    </row>
    <row r="84" spans="1:24" ht="154" x14ac:dyDescent="0.3">
      <c r="A84" s="232" t="s">
        <v>242</v>
      </c>
      <c r="B84" s="232" t="s">
        <v>1246</v>
      </c>
      <c r="C84" s="232">
        <v>0</v>
      </c>
      <c r="D84" s="232">
        <v>0</v>
      </c>
      <c r="E84" s="232">
        <v>1</v>
      </c>
      <c r="F84" s="232">
        <v>0</v>
      </c>
      <c r="G84" s="232">
        <v>0</v>
      </c>
      <c r="H84" s="232">
        <v>0</v>
      </c>
      <c r="I84" s="232">
        <v>0</v>
      </c>
      <c r="J84" s="232">
        <v>0</v>
      </c>
      <c r="K84" s="232"/>
      <c r="L84" s="232" t="s">
        <v>4</v>
      </c>
      <c r="M84" s="232" t="s">
        <v>1040</v>
      </c>
      <c r="N84" s="232" t="s">
        <v>1321</v>
      </c>
      <c r="O84" s="232" t="s">
        <v>1032</v>
      </c>
      <c r="P84" s="232" t="s">
        <v>1032</v>
      </c>
      <c r="Q84" s="232" t="s">
        <v>1247</v>
      </c>
      <c r="R84" s="232"/>
      <c r="S84" s="232" t="s">
        <v>1344</v>
      </c>
      <c r="T84" s="232" t="s">
        <v>1345</v>
      </c>
      <c r="U84" s="232" t="s">
        <v>149</v>
      </c>
      <c r="V84" s="232" t="s">
        <v>1040</v>
      </c>
      <c r="W84" s="232" t="s">
        <v>46</v>
      </c>
      <c r="X84" s="232">
        <f t="shared" si="1"/>
        <v>20</v>
      </c>
    </row>
    <row r="85" spans="1:24" ht="84" x14ac:dyDescent="0.3">
      <c r="A85" s="232" t="s">
        <v>245</v>
      </c>
      <c r="B85" s="232" t="s">
        <v>1053</v>
      </c>
      <c r="C85" s="232">
        <v>0</v>
      </c>
      <c r="D85" s="232">
        <v>0</v>
      </c>
      <c r="E85" s="232">
        <v>1</v>
      </c>
      <c r="F85" s="232">
        <v>0</v>
      </c>
      <c r="G85" s="232">
        <v>0</v>
      </c>
      <c r="H85" s="232">
        <v>0</v>
      </c>
      <c r="I85" s="232">
        <v>0</v>
      </c>
      <c r="J85" s="232">
        <v>0</v>
      </c>
      <c r="K85" s="232"/>
      <c r="L85" s="232" t="s">
        <v>4</v>
      </c>
      <c r="M85" s="232" t="s">
        <v>1040</v>
      </c>
      <c r="N85" s="232" t="s">
        <v>1321</v>
      </c>
      <c r="O85" s="232" t="s">
        <v>1032</v>
      </c>
      <c r="P85" s="232" t="s">
        <v>1032</v>
      </c>
      <c r="Q85" s="232" t="s">
        <v>268</v>
      </c>
      <c r="R85" s="232"/>
      <c r="S85" s="232" t="s">
        <v>269</v>
      </c>
      <c r="T85" s="232" t="s">
        <v>270</v>
      </c>
      <c r="U85" s="232" t="s">
        <v>149</v>
      </c>
      <c r="V85" s="232" t="s">
        <v>1040</v>
      </c>
      <c r="W85" s="232" t="s">
        <v>46</v>
      </c>
      <c r="X85" s="232">
        <f t="shared" si="1"/>
        <v>20</v>
      </c>
    </row>
    <row r="86" spans="1:24" ht="196" x14ac:dyDescent="0.3">
      <c r="A86" s="232" t="s">
        <v>248</v>
      </c>
      <c r="B86" s="232" t="s">
        <v>1054</v>
      </c>
      <c r="C86" s="232">
        <v>0</v>
      </c>
      <c r="D86" s="232">
        <v>0</v>
      </c>
      <c r="E86" s="232">
        <v>1</v>
      </c>
      <c r="F86" s="232">
        <v>0</v>
      </c>
      <c r="G86" s="232">
        <v>0</v>
      </c>
      <c r="H86" s="232">
        <v>0</v>
      </c>
      <c r="I86" s="232">
        <v>0</v>
      </c>
      <c r="J86" s="232">
        <v>1</v>
      </c>
      <c r="K86" s="232"/>
      <c r="L86" s="232" t="s">
        <v>4</v>
      </c>
      <c r="M86" s="232" t="s">
        <v>1040</v>
      </c>
      <c r="N86" s="232" t="s">
        <v>1321</v>
      </c>
      <c r="O86" s="232" t="s">
        <v>1032</v>
      </c>
      <c r="P86" s="232" t="s">
        <v>275</v>
      </c>
      <c r="Q86" s="232" t="s">
        <v>1032</v>
      </c>
      <c r="R86" s="232"/>
      <c r="S86" s="232" t="s">
        <v>276</v>
      </c>
      <c r="T86" s="232" t="s">
        <v>1346</v>
      </c>
      <c r="U86" s="232" t="s">
        <v>40</v>
      </c>
      <c r="V86" s="232" t="s">
        <v>1040</v>
      </c>
      <c r="W86" s="232" t="s">
        <v>46</v>
      </c>
      <c r="X86" s="232">
        <f t="shared" si="1"/>
        <v>20</v>
      </c>
    </row>
    <row r="87" spans="1:24" ht="238" x14ac:dyDescent="0.3">
      <c r="A87" s="232" t="s">
        <v>251</v>
      </c>
      <c r="B87" s="232" t="s">
        <v>1137</v>
      </c>
      <c r="C87" s="232">
        <v>0</v>
      </c>
      <c r="D87" s="232">
        <v>0</v>
      </c>
      <c r="E87" s="232">
        <v>1</v>
      </c>
      <c r="F87" s="232">
        <v>0</v>
      </c>
      <c r="G87" s="232">
        <v>0</v>
      </c>
      <c r="H87" s="232">
        <v>0</v>
      </c>
      <c r="I87" s="232">
        <v>0</v>
      </c>
      <c r="J87" s="232">
        <v>0</v>
      </c>
      <c r="K87" s="232"/>
      <c r="L87" s="232" t="s">
        <v>1062</v>
      </c>
      <c r="M87" s="232" t="s">
        <v>1040</v>
      </c>
      <c r="N87" s="232" t="s">
        <v>1321</v>
      </c>
      <c r="O87" s="232" t="s">
        <v>1506</v>
      </c>
      <c r="P87" s="232" t="s">
        <v>1032</v>
      </c>
      <c r="Q87" s="232" t="s">
        <v>1032</v>
      </c>
      <c r="R87" s="232"/>
      <c r="S87" s="232" t="s">
        <v>278</v>
      </c>
      <c r="T87" s="232" t="s">
        <v>1346</v>
      </c>
      <c r="U87" s="232" t="s">
        <v>1062</v>
      </c>
      <c r="V87" s="232" t="s">
        <v>1040</v>
      </c>
      <c r="W87" s="232" t="s">
        <v>46</v>
      </c>
      <c r="X87" s="232">
        <f t="shared" si="1"/>
        <v>20</v>
      </c>
    </row>
    <row r="88" spans="1:24" ht="196" x14ac:dyDescent="0.3">
      <c r="A88" s="232" t="s">
        <v>255</v>
      </c>
      <c r="B88" s="232" t="s">
        <v>1505</v>
      </c>
      <c r="C88" s="232">
        <v>0</v>
      </c>
      <c r="D88" s="232">
        <v>0</v>
      </c>
      <c r="E88" s="232">
        <v>1</v>
      </c>
      <c r="F88" s="232">
        <v>0</v>
      </c>
      <c r="G88" s="232">
        <v>0</v>
      </c>
      <c r="H88" s="232">
        <v>0</v>
      </c>
      <c r="I88" s="232">
        <v>0</v>
      </c>
      <c r="J88" s="232">
        <v>1</v>
      </c>
      <c r="K88" s="232"/>
      <c r="L88" s="232" t="s">
        <v>4</v>
      </c>
      <c r="M88" s="232" t="s">
        <v>1040</v>
      </c>
      <c r="N88" s="232" t="s">
        <v>1321</v>
      </c>
      <c r="O88" s="232" t="s">
        <v>1555</v>
      </c>
      <c r="P88" s="232" t="s">
        <v>1032</v>
      </c>
      <c r="Q88" s="232" t="s">
        <v>1032</v>
      </c>
      <c r="R88" s="232"/>
      <c r="S88" s="232" t="s">
        <v>1347</v>
      </c>
      <c r="T88" s="232" t="s">
        <v>279</v>
      </c>
      <c r="U88" s="232" t="s">
        <v>40</v>
      </c>
      <c r="V88" s="232" t="s">
        <v>1040</v>
      </c>
      <c r="W88" s="232" t="s">
        <v>46</v>
      </c>
      <c r="X88" s="232">
        <f t="shared" si="1"/>
        <v>20</v>
      </c>
    </row>
    <row r="89" spans="1:24" ht="252" x14ac:dyDescent="0.3">
      <c r="A89" s="232" t="s">
        <v>259</v>
      </c>
      <c r="B89" s="232" t="s">
        <v>1624</v>
      </c>
      <c r="C89" s="232">
        <v>0</v>
      </c>
      <c r="D89" s="232">
        <v>0</v>
      </c>
      <c r="E89" s="232">
        <v>1</v>
      </c>
      <c r="F89" s="232">
        <v>0</v>
      </c>
      <c r="G89" s="232">
        <v>0</v>
      </c>
      <c r="H89" s="232">
        <v>0</v>
      </c>
      <c r="I89" s="232">
        <v>0</v>
      </c>
      <c r="J89" s="232">
        <v>0</v>
      </c>
      <c r="K89" s="232"/>
      <c r="L89" s="232" t="s">
        <v>4</v>
      </c>
      <c r="M89" s="232" t="s">
        <v>1040</v>
      </c>
      <c r="N89" s="232" t="s">
        <v>1321</v>
      </c>
      <c r="O89" s="232" t="s">
        <v>1032</v>
      </c>
      <c r="P89" s="232" t="s">
        <v>246</v>
      </c>
      <c r="Q89" s="232" t="s">
        <v>247</v>
      </c>
      <c r="R89" s="232"/>
      <c r="S89" s="232" t="s">
        <v>1630</v>
      </c>
      <c r="T89" s="232" t="s">
        <v>1348</v>
      </c>
      <c r="U89" s="232" t="s">
        <v>40</v>
      </c>
      <c r="V89" s="232" t="s">
        <v>1040</v>
      </c>
      <c r="W89" s="232" t="s">
        <v>75</v>
      </c>
      <c r="X89" s="232">
        <f t="shared" si="1"/>
        <v>10</v>
      </c>
    </row>
    <row r="90" spans="1:24" ht="126" x14ac:dyDescent="0.3">
      <c r="A90" s="232" t="s">
        <v>261</v>
      </c>
      <c r="B90" s="232" t="s">
        <v>256</v>
      </c>
      <c r="C90" s="232">
        <v>0</v>
      </c>
      <c r="D90" s="232">
        <v>0</v>
      </c>
      <c r="E90" s="232">
        <v>1</v>
      </c>
      <c r="F90" s="232">
        <v>0</v>
      </c>
      <c r="G90" s="232">
        <v>0</v>
      </c>
      <c r="H90" s="232">
        <v>0</v>
      </c>
      <c r="I90" s="232">
        <v>0</v>
      </c>
      <c r="J90" s="232">
        <v>0</v>
      </c>
      <c r="K90" s="232"/>
      <c r="L90" s="232" t="s">
        <v>4</v>
      </c>
      <c r="M90" s="232" t="s">
        <v>1040</v>
      </c>
      <c r="N90" s="232" t="s">
        <v>1321</v>
      </c>
      <c r="O90" s="232" t="s">
        <v>1032</v>
      </c>
      <c r="P90" s="232" t="s">
        <v>257</v>
      </c>
      <c r="Q90" s="232" t="s">
        <v>1032</v>
      </c>
      <c r="R90" s="232"/>
      <c r="S90" s="232" t="s">
        <v>1349</v>
      </c>
      <c r="T90" s="232" t="s">
        <v>258</v>
      </c>
      <c r="U90" s="232" t="s">
        <v>40</v>
      </c>
      <c r="V90" s="232" t="s">
        <v>1040</v>
      </c>
      <c r="W90" s="232" t="s">
        <v>75</v>
      </c>
      <c r="X90" s="232">
        <f t="shared" si="1"/>
        <v>10</v>
      </c>
    </row>
    <row r="91" spans="1:24" ht="224" x14ac:dyDescent="0.3">
      <c r="A91" s="232" t="s">
        <v>266</v>
      </c>
      <c r="B91" s="232" t="s">
        <v>1625</v>
      </c>
      <c r="C91" s="232">
        <v>0</v>
      </c>
      <c r="D91" s="232">
        <v>0</v>
      </c>
      <c r="E91" s="232">
        <v>1</v>
      </c>
      <c r="F91" s="232">
        <v>0</v>
      </c>
      <c r="G91" s="232">
        <v>0</v>
      </c>
      <c r="H91" s="232">
        <v>0</v>
      </c>
      <c r="I91" s="232">
        <v>0</v>
      </c>
      <c r="J91" s="232">
        <v>0</v>
      </c>
      <c r="K91" s="232"/>
      <c r="L91" s="232" t="s">
        <v>4</v>
      </c>
      <c r="M91" s="232" t="s">
        <v>1040</v>
      </c>
      <c r="N91" s="232" t="s">
        <v>1321</v>
      </c>
      <c r="O91" s="232" t="s">
        <v>1032</v>
      </c>
      <c r="P91" s="232" t="s">
        <v>272</v>
      </c>
      <c r="Q91" s="232" t="s">
        <v>273</v>
      </c>
      <c r="R91" s="232"/>
      <c r="S91" s="232" t="s">
        <v>1631</v>
      </c>
      <c r="T91" s="232" t="s">
        <v>1138</v>
      </c>
      <c r="U91" s="232" t="s">
        <v>40</v>
      </c>
      <c r="V91" s="232" t="s">
        <v>1040</v>
      </c>
      <c r="W91" s="232" t="s">
        <v>75</v>
      </c>
      <c r="X91" s="232">
        <f t="shared" si="1"/>
        <v>10</v>
      </c>
    </row>
    <row r="92" spans="1:24" ht="182" x14ac:dyDescent="0.3">
      <c r="A92" s="232" t="s">
        <v>267</v>
      </c>
      <c r="B92" s="232" t="s">
        <v>1139</v>
      </c>
      <c r="C92" s="232">
        <v>0</v>
      </c>
      <c r="D92" s="232">
        <v>0</v>
      </c>
      <c r="E92" s="232">
        <v>1</v>
      </c>
      <c r="F92" s="232">
        <v>0</v>
      </c>
      <c r="G92" s="232">
        <v>0</v>
      </c>
      <c r="H92" s="232">
        <v>0</v>
      </c>
      <c r="I92" s="232">
        <v>0</v>
      </c>
      <c r="J92" s="232">
        <v>0</v>
      </c>
      <c r="K92" s="232"/>
      <c r="L92" s="232" t="s">
        <v>4</v>
      </c>
      <c r="M92" s="232" t="s">
        <v>1040</v>
      </c>
      <c r="N92" s="232" t="s">
        <v>1321</v>
      </c>
      <c r="O92" s="232" t="s">
        <v>1140</v>
      </c>
      <c r="P92" s="232" t="s">
        <v>249</v>
      </c>
      <c r="Q92" s="232" t="s">
        <v>250</v>
      </c>
      <c r="R92" s="232"/>
      <c r="S92" s="232" t="s">
        <v>225</v>
      </c>
      <c r="T92" s="232" t="s">
        <v>226</v>
      </c>
      <c r="U92" s="232" t="s">
        <v>40</v>
      </c>
      <c r="V92" s="232" t="s">
        <v>1040</v>
      </c>
      <c r="W92" s="232" t="s">
        <v>41</v>
      </c>
      <c r="X92" s="232">
        <f t="shared" si="1"/>
        <v>5</v>
      </c>
    </row>
    <row r="93" spans="1:24" ht="126" x14ac:dyDescent="0.3">
      <c r="A93" s="232" t="s">
        <v>271</v>
      </c>
      <c r="B93" s="232" t="s">
        <v>252</v>
      </c>
      <c r="C93" s="232">
        <v>0</v>
      </c>
      <c r="D93" s="232">
        <v>0</v>
      </c>
      <c r="E93" s="232">
        <v>1</v>
      </c>
      <c r="F93" s="232">
        <v>0</v>
      </c>
      <c r="G93" s="232">
        <v>0</v>
      </c>
      <c r="H93" s="232">
        <v>0</v>
      </c>
      <c r="I93" s="232">
        <v>0</v>
      </c>
      <c r="J93" s="232">
        <v>0</v>
      </c>
      <c r="K93" s="232"/>
      <c r="L93" s="232" t="s">
        <v>4</v>
      </c>
      <c r="M93" s="232" t="s">
        <v>1040</v>
      </c>
      <c r="N93" s="232" t="s">
        <v>1321</v>
      </c>
      <c r="O93" s="232" t="s">
        <v>1032</v>
      </c>
      <c r="P93" s="232" t="s">
        <v>253</v>
      </c>
      <c r="Q93" s="232" t="s">
        <v>1032</v>
      </c>
      <c r="R93" s="232"/>
      <c r="S93" s="232" t="s">
        <v>1349</v>
      </c>
      <c r="T93" s="232" t="s">
        <v>254</v>
      </c>
      <c r="U93" s="232" t="s">
        <v>40</v>
      </c>
      <c r="V93" s="232" t="s">
        <v>1040</v>
      </c>
      <c r="W93" s="232" t="s">
        <v>41</v>
      </c>
      <c r="X93" s="232">
        <f t="shared" si="1"/>
        <v>5</v>
      </c>
    </row>
    <row r="94" spans="1:24" ht="168" x14ac:dyDescent="0.3">
      <c r="A94" s="232" t="s">
        <v>274</v>
      </c>
      <c r="B94" s="232" t="s">
        <v>1626</v>
      </c>
      <c r="C94" s="232">
        <v>0</v>
      </c>
      <c r="D94" s="232">
        <v>0</v>
      </c>
      <c r="E94" s="232">
        <v>1</v>
      </c>
      <c r="F94" s="232">
        <v>0</v>
      </c>
      <c r="G94" s="232">
        <v>0</v>
      </c>
      <c r="H94" s="232">
        <v>0</v>
      </c>
      <c r="I94" s="232">
        <v>0</v>
      </c>
      <c r="J94" s="232">
        <v>1</v>
      </c>
      <c r="K94" s="232"/>
      <c r="L94" s="232" t="s">
        <v>4</v>
      </c>
      <c r="M94" s="232" t="s">
        <v>1040</v>
      </c>
      <c r="N94" s="232" t="s">
        <v>1321</v>
      </c>
      <c r="O94" s="232" t="s">
        <v>1032</v>
      </c>
      <c r="P94" s="232" t="s">
        <v>1141</v>
      </c>
      <c r="Q94" s="232" t="s">
        <v>1248</v>
      </c>
      <c r="R94" s="232"/>
      <c r="S94" s="232" t="s">
        <v>1632</v>
      </c>
      <c r="T94" s="232" t="s">
        <v>1350</v>
      </c>
      <c r="U94" s="232" t="s">
        <v>40</v>
      </c>
      <c r="V94" s="232" t="s">
        <v>1040</v>
      </c>
      <c r="W94" s="232" t="s">
        <v>41</v>
      </c>
      <c r="X94" s="232">
        <f t="shared" si="1"/>
        <v>5</v>
      </c>
    </row>
    <row r="95" spans="1:24" ht="56" x14ac:dyDescent="0.3">
      <c r="A95" s="232" t="s">
        <v>277</v>
      </c>
      <c r="B95" s="232" t="s">
        <v>1142</v>
      </c>
      <c r="C95" s="232">
        <v>0</v>
      </c>
      <c r="D95" s="232">
        <v>0</v>
      </c>
      <c r="E95" s="232">
        <v>1</v>
      </c>
      <c r="F95" s="232">
        <v>0</v>
      </c>
      <c r="G95" s="232">
        <v>0</v>
      </c>
      <c r="H95" s="232">
        <v>0</v>
      </c>
      <c r="I95" s="232">
        <v>0</v>
      </c>
      <c r="J95" s="232">
        <v>1</v>
      </c>
      <c r="K95" s="232"/>
      <c r="L95" s="232" t="s">
        <v>4</v>
      </c>
      <c r="M95" s="232" t="s">
        <v>1040</v>
      </c>
      <c r="N95" s="232" t="s">
        <v>1321</v>
      </c>
      <c r="O95" s="232" t="s">
        <v>1032</v>
      </c>
      <c r="P95" s="232" t="s">
        <v>262</v>
      </c>
      <c r="Q95" s="232" t="s">
        <v>263</v>
      </c>
      <c r="R95" s="232"/>
      <c r="S95" s="232" t="s">
        <v>264</v>
      </c>
      <c r="T95" s="232" t="s">
        <v>265</v>
      </c>
      <c r="U95" s="232" t="s">
        <v>40</v>
      </c>
      <c r="V95" s="232" t="s">
        <v>1040</v>
      </c>
      <c r="W95" s="232" t="s">
        <v>41</v>
      </c>
      <c r="X95" s="232">
        <f t="shared" si="1"/>
        <v>5</v>
      </c>
    </row>
    <row r="96" spans="1:24" ht="126" x14ac:dyDescent="0.3">
      <c r="A96" s="233" t="s">
        <v>280</v>
      </c>
      <c r="B96" s="232" t="s">
        <v>1055</v>
      </c>
      <c r="C96" s="232">
        <v>0</v>
      </c>
      <c r="D96" s="232">
        <v>1</v>
      </c>
      <c r="E96" s="232">
        <v>0</v>
      </c>
      <c r="F96" s="232">
        <v>0</v>
      </c>
      <c r="G96" s="232">
        <v>0</v>
      </c>
      <c r="H96" s="232">
        <v>0</v>
      </c>
      <c r="I96" s="232">
        <v>0</v>
      </c>
      <c r="J96" s="232">
        <v>0</v>
      </c>
      <c r="K96" s="232"/>
      <c r="L96" s="232" t="s">
        <v>131</v>
      </c>
      <c r="M96" s="232" t="s">
        <v>1040</v>
      </c>
      <c r="N96" s="232" t="s">
        <v>1032</v>
      </c>
      <c r="O96" s="232" t="s">
        <v>1032</v>
      </c>
      <c r="P96" s="232" t="s">
        <v>290</v>
      </c>
      <c r="Q96" s="232" t="s">
        <v>291</v>
      </c>
      <c r="R96" s="232"/>
      <c r="S96" s="232" t="s">
        <v>292</v>
      </c>
      <c r="T96" s="232" t="s">
        <v>1351</v>
      </c>
      <c r="U96" s="232" t="s">
        <v>40</v>
      </c>
      <c r="V96" s="232" t="s">
        <v>1040</v>
      </c>
      <c r="W96" s="232" t="s">
        <v>46</v>
      </c>
      <c r="X96" s="232">
        <f t="shared" si="1"/>
        <v>20</v>
      </c>
    </row>
    <row r="97" spans="1:24" ht="168" x14ac:dyDescent="0.3">
      <c r="A97" s="233" t="s">
        <v>285</v>
      </c>
      <c r="B97" s="232" t="s">
        <v>1056</v>
      </c>
      <c r="C97" s="232">
        <v>0</v>
      </c>
      <c r="D97" s="232">
        <v>1</v>
      </c>
      <c r="E97" s="232">
        <v>0</v>
      </c>
      <c r="F97" s="232">
        <v>0</v>
      </c>
      <c r="G97" s="232">
        <v>0</v>
      </c>
      <c r="H97" s="232">
        <v>0</v>
      </c>
      <c r="I97" s="232">
        <v>0</v>
      </c>
      <c r="J97" s="232">
        <v>0</v>
      </c>
      <c r="K97" s="232"/>
      <c r="L97" s="232" t="s">
        <v>131</v>
      </c>
      <c r="M97" s="232" t="s">
        <v>1040</v>
      </c>
      <c r="N97" s="232" t="s">
        <v>1032</v>
      </c>
      <c r="O97" s="232" t="s">
        <v>302</v>
      </c>
      <c r="P97" s="232" t="s">
        <v>303</v>
      </c>
      <c r="Q97" s="232" t="s">
        <v>304</v>
      </c>
      <c r="R97" s="232" t="s">
        <v>1615</v>
      </c>
      <c r="S97" s="232" t="s">
        <v>1352</v>
      </c>
      <c r="T97" s="232" t="s">
        <v>1353</v>
      </c>
      <c r="U97" s="232" t="s">
        <v>40</v>
      </c>
      <c r="V97" s="232" t="s">
        <v>1040</v>
      </c>
      <c r="W97" s="232" t="s">
        <v>46</v>
      </c>
      <c r="X97" s="232">
        <f t="shared" si="1"/>
        <v>20</v>
      </c>
    </row>
    <row r="98" spans="1:24" ht="210" x14ac:dyDescent="0.3">
      <c r="A98" s="233" t="s">
        <v>286</v>
      </c>
      <c r="B98" s="232" t="s">
        <v>1143</v>
      </c>
      <c r="C98" s="232">
        <v>0</v>
      </c>
      <c r="D98" s="232">
        <v>1</v>
      </c>
      <c r="E98" s="232">
        <v>0</v>
      </c>
      <c r="F98" s="232">
        <v>0</v>
      </c>
      <c r="G98" s="232">
        <v>0</v>
      </c>
      <c r="H98" s="232">
        <v>0</v>
      </c>
      <c r="I98" s="232">
        <v>0</v>
      </c>
      <c r="J98" s="232">
        <v>0</v>
      </c>
      <c r="K98" s="232"/>
      <c r="L98" s="232" t="s">
        <v>131</v>
      </c>
      <c r="M98" s="232" t="s">
        <v>1040</v>
      </c>
      <c r="N98" s="232" t="s">
        <v>1032</v>
      </c>
      <c r="O98" s="232" t="s">
        <v>1032</v>
      </c>
      <c r="P98" s="232" t="s">
        <v>330</v>
      </c>
      <c r="Q98" s="232" t="s">
        <v>331</v>
      </c>
      <c r="R98" s="232" t="s">
        <v>1615</v>
      </c>
      <c r="S98" s="232" t="s">
        <v>1354</v>
      </c>
      <c r="T98" s="232" t="s">
        <v>1470</v>
      </c>
      <c r="U98" s="232" t="s">
        <v>40</v>
      </c>
      <c r="V98" s="232" t="s">
        <v>1040</v>
      </c>
      <c r="W98" s="232" t="s">
        <v>46</v>
      </c>
      <c r="X98" s="232">
        <f t="shared" si="1"/>
        <v>20</v>
      </c>
    </row>
    <row r="99" spans="1:24" ht="140" x14ac:dyDescent="0.3">
      <c r="A99" s="233" t="s">
        <v>289</v>
      </c>
      <c r="B99" s="232" t="s">
        <v>281</v>
      </c>
      <c r="C99" s="232">
        <v>0</v>
      </c>
      <c r="D99" s="232">
        <v>1</v>
      </c>
      <c r="E99" s="232">
        <v>0</v>
      </c>
      <c r="F99" s="232">
        <v>0</v>
      </c>
      <c r="G99" s="232">
        <v>0</v>
      </c>
      <c r="H99" s="232">
        <v>0</v>
      </c>
      <c r="I99" s="232">
        <v>0</v>
      </c>
      <c r="J99" s="232">
        <v>1</v>
      </c>
      <c r="K99" s="232"/>
      <c r="L99" s="232" t="s">
        <v>131</v>
      </c>
      <c r="M99" s="232" t="s">
        <v>72</v>
      </c>
      <c r="N99" s="232" t="s">
        <v>1032</v>
      </c>
      <c r="O99" s="232" t="s">
        <v>1032</v>
      </c>
      <c r="P99" s="232" t="s">
        <v>90</v>
      </c>
      <c r="Q99" s="232" t="s">
        <v>282</v>
      </c>
      <c r="R99" s="232"/>
      <c r="S99" s="232" t="s">
        <v>283</v>
      </c>
      <c r="T99" s="232" t="s">
        <v>284</v>
      </c>
      <c r="U99" s="232" t="s">
        <v>40</v>
      </c>
      <c r="V99" s="232" t="s">
        <v>1040</v>
      </c>
      <c r="W99" s="232" t="s">
        <v>75</v>
      </c>
      <c r="X99" s="232">
        <f t="shared" si="1"/>
        <v>10</v>
      </c>
    </row>
    <row r="100" spans="1:24" ht="232.5" customHeight="1" x14ac:dyDescent="0.3">
      <c r="A100" s="233" t="s">
        <v>293</v>
      </c>
      <c r="B100" s="232" t="s">
        <v>1144</v>
      </c>
      <c r="C100" s="232">
        <v>0</v>
      </c>
      <c r="D100" s="232">
        <v>1</v>
      </c>
      <c r="E100" s="232">
        <v>0</v>
      </c>
      <c r="F100" s="232">
        <v>0</v>
      </c>
      <c r="G100" s="232">
        <v>0</v>
      </c>
      <c r="H100" s="232">
        <v>0</v>
      </c>
      <c r="I100" s="232">
        <v>0</v>
      </c>
      <c r="J100" s="232">
        <v>1</v>
      </c>
      <c r="K100" s="232"/>
      <c r="L100" s="232" t="s">
        <v>131</v>
      </c>
      <c r="M100" s="232" t="s">
        <v>1040</v>
      </c>
      <c r="N100" s="232" t="s">
        <v>1032</v>
      </c>
      <c r="O100" s="232" t="s">
        <v>1032</v>
      </c>
      <c r="P100" s="232" t="s">
        <v>1145</v>
      </c>
      <c r="Q100" s="232" t="s">
        <v>1507</v>
      </c>
      <c r="R100" s="232"/>
      <c r="S100" s="232" t="s">
        <v>1146</v>
      </c>
      <c r="T100" s="232" t="s">
        <v>1355</v>
      </c>
      <c r="U100" s="232" t="s">
        <v>40</v>
      </c>
      <c r="V100" s="232" t="s">
        <v>1040</v>
      </c>
      <c r="W100" s="232" t="s">
        <v>75</v>
      </c>
      <c r="X100" s="232">
        <f t="shared" si="1"/>
        <v>10</v>
      </c>
    </row>
    <row r="101" spans="1:24" ht="139.5" customHeight="1" x14ac:dyDescent="0.3">
      <c r="A101" s="233" t="s">
        <v>297</v>
      </c>
      <c r="B101" s="232" t="s">
        <v>1147</v>
      </c>
      <c r="C101" s="232">
        <v>0</v>
      </c>
      <c r="D101" s="232">
        <v>1</v>
      </c>
      <c r="E101" s="232">
        <v>0</v>
      </c>
      <c r="F101" s="232">
        <v>0</v>
      </c>
      <c r="G101" s="232">
        <v>0</v>
      </c>
      <c r="H101" s="232">
        <v>0</v>
      </c>
      <c r="I101" s="232">
        <v>0</v>
      </c>
      <c r="J101" s="232">
        <v>0</v>
      </c>
      <c r="K101" s="232"/>
      <c r="L101" s="232" t="s">
        <v>131</v>
      </c>
      <c r="M101" s="232" t="s">
        <v>1040</v>
      </c>
      <c r="N101" s="232" t="s">
        <v>1032</v>
      </c>
      <c r="O101" s="232" t="s">
        <v>1032</v>
      </c>
      <c r="P101" s="232" t="s">
        <v>287</v>
      </c>
      <c r="Q101" s="232" t="s">
        <v>288</v>
      </c>
      <c r="R101" s="232"/>
      <c r="S101" s="232" t="s">
        <v>1356</v>
      </c>
      <c r="T101" s="232" t="s">
        <v>1357</v>
      </c>
      <c r="U101" s="232" t="s">
        <v>40</v>
      </c>
      <c r="V101" s="232" t="s">
        <v>1040</v>
      </c>
      <c r="W101" s="232" t="s">
        <v>75</v>
      </c>
      <c r="X101" s="232">
        <f t="shared" si="1"/>
        <v>10</v>
      </c>
    </row>
    <row r="102" spans="1:24" ht="98" x14ac:dyDescent="0.3">
      <c r="A102" s="233" t="s">
        <v>301</v>
      </c>
      <c r="B102" s="232" t="s">
        <v>314</v>
      </c>
      <c r="C102" s="232">
        <v>0</v>
      </c>
      <c r="D102" s="232">
        <v>1</v>
      </c>
      <c r="E102" s="232">
        <v>0</v>
      </c>
      <c r="F102" s="232">
        <v>0</v>
      </c>
      <c r="G102" s="232">
        <v>0</v>
      </c>
      <c r="H102" s="232">
        <v>0</v>
      </c>
      <c r="I102" s="232">
        <v>0</v>
      </c>
      <c r="J102" s="232">
        <v>0</v>
      </c>
      <c r="K102" s="232"/>
      <c r="L102" s="232" t="s">
        <v>131</v>
      </c>
      <c r="M102" s="232" t="s">
        <v>1040</v>
      </c>
      <c r="N102" s="232" t="s">
        <v>1032</v>
      </c>
      <c r="O102" s="232" t="s">
        <v>1032</v>
      </c>
      <c r="P102" s="232" t="s">
        <v>315</v>
      </c>
      <c r="Q102" s="232" t="s">
        <v>316</v>
      </c>
      <c r="R102" s="232"/>
      <c r="S102" s="232" t="s">
        <v>1358</v>
      </c>
      <c r="T102" s="232" t="s">
        <v>1359</v>
      </c>
      <c r="U102" s="232" t="s">
        <v>40</v>
      </c>
      <c r="V102" s="232" t="s">
        <v>1040</v>
      </c>
      <c r="W102" s="232" t="s">
        <v>75</v>
      </c>
      <c r="X102" s="232">
        <f t="shared" si="1"/>
        <v>10</v>
      </c>
    </row>
    <row r="103" spans="1:24" ht="214.5" customHeight="1" x14ac:dyDescent="0.3">
      <c r="A103" s="233" t="s">
        <v>305</v>
      </c>
      <c r="B103" s="232" t="s">
        <v>1085</v>
      </c>
      <c r="C103" s="232">
        <v>0</v>
      </c>
      <c r="D103" s="232">
        <v>1</v>
      </c>
      <c r="E103" s="232">
        <v>0</v>
      </c>
      <c r="F103" s="232">
        <v>0</v>
      </c>
      <c r="G103" s="232">
        <v>0</v>
      </c>
      <c r="H103" s="232">
        <v>0</v>
      </c>
      <c r="I103" s="232">
        <v>0</v>
      </c>
      <c r="J103" s="232">
        <v>0</v>
      </c>
      <c r="K103" s="232"/>
      <c r="L103" s="232" t="s">
        <v>131</v>
      </c>
      <c r="M103" s="232" t="s">
        <v>1040</v>
      </c>
      <c r="N103" s="232" t="s">
        <v>1032</v>
      </c>
      <c r="O103" s="232" t="s">
        <v>1032</v>
      </c>
      <c r="P103" s="232" t="s">
        <v>318</v>
      </c>
      <c r="Q103" s="232" t="s">
        <v>319</v>
      </c>
      <c r="R103" s="232"/>
      <c r="S103" s="232" t="s">
        <v>1360</v>
      </c>
      <c r="T103" s="232" t="s">
        <v>1361</v>
      </c>
      <c r="U103" s="232" t="s">
        <v>40</v>
      </c>
      <c r="V103" s="232" t="s">
        <v>1040</v>
      </c>
      <c r="W103" s="232" t="s">
        <v>75</v>
      </c>
      <c r="X103" s="232">
        <f t="shared" si="1"/>
        <v>10</v>
      </c>
    </row>
    <row r="104" spans="1:24" ht="244.5" customHeight="1" x14ac:dyDescent="0.3">
      <c r="A104" s="233" t="s">
        <v>308</v>
      </c>
      <c r="B104" s="232" t="s">
        <v>294</v>
      </c>
      <c r="C104" s="232">
        <v>0</v>
      </c>
      <c r="D104" s="232">
        <v>1</v>
      </c>
      <c r="E104" s="232">
        <v>0</v>
      </c>
      <c r="F104" s="232">
        <v>0</v>
      </c>
      <c r="G104" s="232">
        <v>0</v>
      </c>
      <c r="H104" s="232">
        <v>0</v>
      </c>
      <c r="I104" s="232">
        <v>0</v>
      </c>
      <c r="J104" s="232">
        <v>0</v>
      </c>
      <c r="K104" s="232"/>
      <c r="L104" s="232" t="s">
        <v>131</v>
      </c>
      <c r="M104" s="232" t="s">
        <v>1040</v>
      </c>
      <c r="N104" s="232" t="s">
        <v>1032</v>
      </c>
      <c r="O104" s="232" t="s">
        <v>1032</v>
      </c>
      <c r="P104" s="232" t="s">
        <v>295</v>
      </c>
      <c r="Q104" s="232" t="s">
        <v>296</v>
      </c>
      <c r="R104" s="232"/>
      <c r="S104" s="232" t="s">
        <v>1362</v>
      </c>
      <c r="T104" s="232" t="s">
        <v>1282</v>
      </c>
      <c r="U104" s="232" t="s">
        <v>40</v>
      </c>
      <c r="V104" s="232" t="s">
        <v>1040</v>
      </c>
      <c r="W104" s="232" t="s">
        <v>41</v>
      </c>
      <c r="X104" s="232">
        <f t="shared" si="1"/>
        <v>5</v>
      </c>
    </row>
    <row r="105" spans="1:24" ht="112" x14ac:dyDescent="0.3">
      <c r="A105" s="233" t="s">
        <v>311</v>
      </c>
      <c r="B105" s="232" t="s">
        <v>298</v>
      </c>
      <c r="C105" s="232">
        <v>0</v>
      </c>
      <c r="D105" s="232">
        <v>1</v>
      </c>
      <c r="E105" s="232">
        <v>0</v>
      </c>
      <c r="F105" s="232">
        <v>0</v>
      </c>
      <c r="G105" s="232">
        <v>0</v>
      </c>
      <c r="H105" s="232">
        <v>0</v>
      </c>
      <c r="I105" s="232">
        <v>0</v>
      </c>
      <c r="J105" s="232">
        <v>0</v>
      </c>
      <c r="K105" s="232"/>
      <c r="L105" s="232" t="s">
        <v>131</v>
      </c>
      <c r="M105" s="232" t="s">
        <v>1040</v>
      </c>
      <c r="N105" s="232" t="s">
        <v>1032</v>
      </c>
      <c r="O105" s="232" t="s">
        <v>299</v>
      </c>
      <c r="P105" s="232" t="s">
        <v>1286</v>
      </c>
      <c r="Q105" s="232" t="s">
        <v>300</v>
      </c>
      <c r="R105" s="232"/>
      <c r="S105" s="232" t="s">
        <v>1363</v>
      </c>
      <c r="T105" s="232" t="s">
        <v>1364</v>
      </c>
      <c r="U105" s="232" t="s">
        <v>40</v>
      </c>
      <c r="V105" s="232" t="s">
        <v>1040</v>
      </c>
      <c r="W105" s="232" t="s">
        <v>41</v>
      </c>
      <c r="X105" s="232">
        <f t="shared" si="1"/>
        <v>5</v>
      </c>
    </row>
    <row r="106" spans="1:24" ht="112" x14ac:dyDescent="0.3">
      <c r="A106" s="233" t="s">
        <v>313</v>
      </c>
      <c r="B106" s="232" t="s">
        <v>306</v>
      </c>
      <c r="C106" s="232">
        <v>0</v>
      </c>
      <c r="D106" s="232">
        <v>1</v>
      </c>
      <c r="E106" s="232">
        <v>0</v>
      </c>
      <c r="F106" s="232">
        <v>0</v>
      </c>
      <c r="G106" s="232">
        <v>0</v>
      </c>
      <c r="H106" s="232">
        <v>0</v>
      </c>
      <c r="I106" s="232">
        <v>0</v>
      </c>
      <c r="J106" s="232">
        <v>0</v>
      </c>
      <c r="K106" s="232"/>
      <c r="L106" s="232" t="s">
        <v>131</v>
      </c>
      <c r="M106" s="232" t="s">
        <v>1040</v>
      </c>
      <c r="N106" s="232" t="s">
        <v>1032</v>
      </c>
      <c r="O106" s="232" t="s">
        <v>1032</v>
      </c>
      <c r="P106" s="232" t="s">
        <v>307</v>
      </c>
      <c r="Q106" s="232" t="s">
        <v>1249</v>
      </c>
      <c r="R106" s="232"/>
      <c r="S106" s="232" t="s">
        <v>1365</v>
      </c>
      <c r="T106" s="232" t="s">
        <v>1366</v>
      </c>
      <c r="U106" s="232" t="s">
        <v>40</v>
      </c>
      <c r="V106" s="232" t="s">
        <v>1040</v>
      </c>
      <c r="W106" s="232" t="s">
        <v>41</v>
      </c>
      <c r="X106" s="232">
        <f t="shared" si="1"/>
        <v>5</v>
      </c>
    </row>
    <row r="107" spans="1:24" ht="84" x14ac:dyDescent="0.3">
      <c r="A107" s="233" t="s">
        <v>317</v>
      </c>
      <c r="B107" s="232" t="s">
        <v>1287</v>
      </c>
      <c r="C107" s="232">
        <v>0</v>
      </c>
      <c r="D107" s="232">
        <v>1</v>
      </c>
      <c r="E107" s="232">
        <v>0</v>
      </c>
      <c r="F107" s="232">
        <v>0</v>
      </c>
      <c r="G107" s="232">
        <v>0</v>
      </c>
      <c r="H107" s="232">
        <v>0</v>
      </c>
      <c r="I107" s="232">
        <v>0</v>
      </c>
      <c r="J107" s="232">
        <v>0</v>
      </c>
      <c r="K107" s="232"/>
      <c r="L107" s="232" t="s">
        <v>131</v>
      </c>
      <c r="M107" s="232" t="s">
        <v>1040</v>
      </c>
      <c r="N107" s="232" t="s">
        <v>1032</v>
      </c>
      <c r="O107" s="232" t="s">
        <v>1032</v>
      </c>
      <c r="P107" s="232" t="s">
        <v>309</v>
      </c>
      <c r="Q107" s="232" t="s">
        <v>310</v>
      </c>
      <c r="R107" s="232"/>
      <c r="S107" s="232" t="s">
        <v>1367</v>
      </c>
      <c r="T107" s="232" t="s">
        <v>1368</v>
      </c>
      <c r="U107" s="232" t="s">
        <v>40</v>
      </c>
      <c r="V107" s="232" t="s">
        <v>1040</v>
      </c>
      <c r="W107" s="232" t="s">
        <v>41</v>
      </c>
      <c r="X107" s="232">
        <f t="shared" si="1"/>
        <v>5</v>
      </c>
    </row>
    <row r="108" spans="1:24" ht="276.75" customHeight="1" x14ac:dyDescent="0.3">
      <c r="A108" s="233" t="s">
        <v>320</v>
      </c>
      <c r="B108" s="232" t="s">
        <v>1250</v>
      </c>
      <c r="C108" s="232">
        <v>0</v>
      </c>
      <c r="D108" s="232">
        <v>1</v>
      </c>
      <c r="E108" s="232">
        <v>0</v>
      </c>
      <c r="F108" s="232">
        <v>0</v>
      </c>
      <c r="G108" s="232">
        <v>0</v>
      </c>
      <c r="H108" s="232">
        <v>0</v>
      </c>
      <c r="I108" s="232">
        <v>0</v>
      </c>
      <c r="J108" s="232">
        <v>0</v>
      </c>
      <c r="K108" s="232"/>
      <c r="L108" s="232" t="s">
        <v>131</v>
      </c>
      <c r="M108" s="232" t="s">
        <v>1040</v>
      </c>
      <c r="N108" s="232" t="s">
        <v>1032</v>
      </c>
      <c r="O108" s="232" t="s">
        <v>1032</v>
      </c>
      <c r="P108" s="232" t="s">
        <v>1251</v>
      </c>
      <c r="Q108" s="232" t="s">
        <v>1032</v>
      </c>
      <c r="R108" s="232"/>
      <c r="S108" s="232" t="s">
        <v>1369</v>
      </c>
      <c r="T108" s="232" t="s">
        <v>312</v>
      </c>
      <c r="U108" s="232" t="s">
        <v>40</v>
      </c>
      <c r="V108" s="232" t="s">
        <v>1040</v>
      </c>
      <c r="W108" s="232" t="s">
        <v>41</v>
      </c>
      <c r="X108" s="232">
        <f t="shared" si="1"/>
        <v>5</v>
      </c>
    </row>
    <row r="109" spans="1:24" ht="174" customHeight="1" x14ac:dyDescent="0.3">
      <c r="A109" s="233" t="s">
        <v>325</v>
      </c>
      <c r="B109" s="232" t="s">
        <v>321</v>
      </c>
      <c r="C109" s="232">
        <v>0</v>
      </c>
      <c r="D109" s="232">
        <v>1</v>
      </c>
      <c r="E109" s="232">
        <v>0</v>
      </c>
      <c r="F109" s="232">
        <v>0</v>
      </c>
      <c r="G109" s="232">
        <v>0</v>
      </c>
      <c r="H109" s="232">
        <v>0</v>
      </c>
      <c r="I109" s="232">
        <v>0</v>
      </c>
      <c r="J109" s="232">
        <v>0</v>
      </c>
      <c r="K109" s="232"/>
      <c r="L109" s="232" t="s">
        <v>131</v>
      </c>
      <c r="M109" s="232" t="s">
        <v>1040</v>
      </c>
      <c r="N109" s="232" t="s">
        <v>1032</v>
      </c>
      <c r="O109" s="232" t="s">
        <v>1032</v>
      </c>
      <c r="P109" s="232" t="s">
        <v>322</v>
      </c>
      <c r="Q109" s="232" t="s">
        <v>323</v>
      </c>
      <c r="R109" s="232"/>
      <c r="S109" s="232" t="s">
        <v>324</v>
      </c>
      <c r="T109" s="232" t="s">
        <v>1355</v>
      </c>
      <c r="U109" s="232" t="s">
        <v>40</v>
      </c>
      <c r="V109" s="232" t="s">
        <v>1040</v>
      </c>
      <c r="W109" s="232" t="s">
        <v>41</v>
      </c>
      <c r="X109" s="232">
        <f t="shared" si="1"/>
        <v>5</v>
      </c>
    </row>
    <row r="110" spans="1:24" ht="140" x14ac:dyDescent="0.3">
      <c r="A110" s="233" t="s">
        <v>329</v>
      </c>
      <c r="B110" s="232" t="s">
        <v>326</v>
      </c>
      <c r="C110" s="232">
        <v>0</v>
      </c>
      <c r="D110" s="232">
        <v>1</v>
      </c>
      <c r="E110" s="232">
        <v>0</v>
      </c>
      <c r="F110" s="232">
        <v>0</v>
      </c>
      <c r="G110" s="232">
        <v>0</v>
      </c>
      <c r="H110" s="232">
        <v>0</v>
      </c>
      <c r="I110" s="232">
        <v>0</v>
      </c>
      <c r="J110" s="232">
        <v>0</v>
      </c>
      <c r="K110" s="232"/>
      <c r="L110" s="232" t="s">
        <v>131</v>
      </c>
      <c r="M110" s="232" t="s">
        <v>1040</v>
      </c>
      <c r="N110" s="232" t="s">
        <v>1032</v>
      </c>
      <c r="O110" s="232" t="s">
        <v>1032</v>
      </c>
      <c r="P110" s="232" t="s">
        <v>327</v>
      </c>
      <c r="Q110" s="232" t="s">
        <v>328</v>
      </c>
      <c r="R110" s="232"/>
      <c r="S110" s="232" t="s">
        <v>1148</v>
      </c>
      <c r="T110" s="232" t="s">
        <v>1370</v>
      </c>
      <c r="U110" s="232" t="s">
        <v>40</v>
      </c>
      <c r="V110" s="232" t="s">
        <v>1040</v>
      </c>
      <c r="W110" s="232" t="s">
        <v>41</v>
      </c>
      <c r="X110" s="232">
        <f t="shared" si="1"/>
        <v>5</v>
      </c>
    </row>
    <row r="111" spans="1:24" ht="210" x14ac:dyDescent="0.3">
      <c r="A111" s="233" t="s">
        <v>332</v>
      </c>
      <c r="B111" s="232" t="s">
        <v>333</v>
      </c>
      <c r="C111" s="232">
        <v>0</v>
      </c>
      <c r="D111" s="232">
        <v>1</v>
      </c>
      <c r="E111" s="232">
        <v>0</v>
      </c>
      <c r="F111" s="232">
        <v>0</v>
      </c>
      <c r="G111" s="232">
        <v>0</v>
      </c>
      <c r="H111" s="232">
        <v>0</v>
      </c>
      <c r="I111" s="232">
        <v>0</v>
      </c>
      <c r="J111" s="232">
        <v>0</v>
      </c>
      <c r="K111" s="232"/>
      <c r="L111" s="232" t="s">
        <v>131</v>
      </c>
      <c r="M111" s="232" t="s">
        <v>1040</v>
      </c>
      <c r="N111" s="232" t="s">
        <v>1032</v>
      </c>
      <c r="O111" s="232" t="s">
        <v>1032</v>
      </c>
      <c r="P111" s="232" t="s">
        <v>334</v>
      </c>
      <c r="Q111" s="232" t="s">
        <v>335</v>
      </c>
      <c r="R111" s="232"/>
      <c r="S111" s="232" t="s">
        <v>1314</v>
      </c>
      <c r="T111" s="232" t="s">
        <v>1315</v>
      </c>
      <c r="U111" s="232" t="s">
        <v>40</v>
      </c>
      <c r="V111" s="232" t="s">
        <v>1040</v>
      </c>
      <c r="W111" s="232" t="s">
        <v>41</v>
      </c>
      <c r="X111" s="232">
        <f t="shared" si="1"/>
        <v>5</v>
      </c>
    </row>
    <row r="112" spans="1:24" ht="126" x14ac:dyDescent="0.3">
      <c r="A112" s="232" t="s">
        <v>336</v>
      </c>
      <c r="B112" s="232" t="s">
        <v>1057</v>
      </c>
      <c r="C112" s="232">
        <v>0</v>
      </c>
      <c r="D112" s="232">
        <v>0</v>
      </c>
      <c r="E112" s="232">
        <v>1</v>
      </c>
      <c r="F112" s="232">
        <v>0</v>
      </c>
      <c r="G112" s="232">
        <v>0</v>
      </c>
      <c r="H112" s="232">
        <v>0</v>
      </c>
      <c r="I112" s="232">
        <v>0</v>
      </c>
      <c r="J112" s="232">
        <v>0</v>
      </c>
      <c r="K112" s="232"/>
      <c r="L112" s="232" t="s">
        <v>4</v>
      </c>
      <c r="M112" s="232" t="s">
        <v>1040</v>
      </c>
      <c r="N112" s="232" t="s">
        <v>1321</v>
      </c>
      <c r="O112" s="232" t="s">
        <v>1032</v>
      </c>
      <c r="P112" s="232" t="s">
        <v>1032</v>
      </c>
      <c r="Q112" s="232" t="s">
        <v>341</v>
      </c>
      <c r="R112" s="232"/>
      <c r="S112" s="232" t="s">
        <v>342</v>
      </c>
      <c r="T112" s="232" t="s">
        <v>1371</v>
      </c>
      <c r="U112" s="232" t="s">
        <v>149</v>
      </c>
      <c r="V112" s="232" t="s">
        <v>1040</v>
      </c>
      <c r="W112" s="232" t="s">
        <v>46</v>
      </c>
      <c r="X112" s="232">
        <f t="shared" si="1"/>
        <v>20</v>
      </c>
    </row>
    <row r="113" spans="1:24" ht="98" x14ac:dyDescent="0.3">
      <c r="A113" s="232" t="s">
        <v>340</v>
      </c>
      <c r="B113" s="232" t="s">
        <v>1149</v>
      </c>
      <c r="C113" s="232">
        <v>0</v>
      </c>
      <c r="D113" s="232">
        <v>0</v>
      </c>
      <c r="E113" s="232">
        <v>1</v>
      </c>
      <c r="F113" s="232">
        <v>0</v>
      </c>
      <c r="G113" s="232">
        <v>0</v>
      </c>
      <c r="H113" s="232">
        <v>0</v>
      </c>
      <c r="I113" s="232">
        <v>0</v>
      </c>
      <c r="J113" s="232">
        <v>1</v>
      </c>
      <c r="K113" s="232"/>
      <c r="L113" s="232" t="s">
        <v>4</v>
      </c>
      <c r="M113" s="232" t="s">
        <v>1040</v>
      </c>
      <c r="N113" s="232" t="s">
        <v>1321</v>
      </c>
      <c r="O113" s="232" t="s">
        <v>1032</v>
      </c>
      <c r="P113" s="232" t="s">
        <v>344</v>
      </c>
      <c r="Q113" s="232" t="s">
        <v>345</v>
      </c>
      <c r="R113" s="232"/>
      <c r="S113" s="232" t="s">
        <v>1283</v>
      </c>
      <c r="T113" s="232" t="s">
        <v>346</v>
      </c>
      <c r="U113" s="232" t="s">
        <v>40</v>
      </c>
      <c r="V113" s="232" t="s">
        <v>1040</v>
      </c>
      <c r="W113" s="232" t="s">
        <v>46</v>
      </c>
      <c r="X113" s="232">
        <f t="shared" si="1"/>
        <v>20</v>
      </c>
    </row>
    <row r="114" spans="1:24" ht="112" x14ac:dyDescent="0.3">
      <c r="A114" s="232" t="s">
        <v>343</v>
      </c>
      <c r="B114" s="232" t="s">
        <v>1150</v>
      </c>
      <c r="C114" s="232">
        <v>0</v>
      </c>
      <c r="D114" s="232">
        <v>0</v>
      </c>
      <c r="E114" s="232">
        <v>1</v>
      </c>
      <c r="F114" s="232">
        <v>0</v>
      </c>
      <c r="G114" s="232">
        <v>0</v>
      </c>
      <c r="H114" s="232">
        <v>0</v>
      </c>
      <c r="I114" s="232">
        <v>0</v>
      </c>
      <c r="J114" s="232">
        <v>1</v>
      </c>
      <c r="K114" s="232"/>
      <c r="L114" s="232" t="s">
        <v>4</v>
      </c>
      <c r="M114" s="232" t="s">
        <v>1040</v>
      </c>
      <c r="N114" s="232" t="s">
        <v>1321</v>
      </c>
      <c r="O114" s="232" t="s">
        <v>1032</v>
      </c>
      <c r="P114" s="232" t="s">
        <v>348</v>
      </c>
      <c r="Q114" s="232" t="s">
        <v>349</v>
      </c>
      <c r="R114" s="232"/>
      <c r="S114" s="232" t="s">
        <v>350</v>
      </c>
      <c r="T114" s="232" t="s">
        <v>351</v>
      </c>
      <c r="U114" s="232" t="s">
        <v>40</v>
      </c>
      <c r="V114" s="232" t="s">
        <v>1040</v>
      </c>
      <c r="W114" s="232" t="s">
        <v>46</v>
      </c>
      <c r="X114" s="232">
        <f t="shared" si="1"/>
        <v>20</v>
      </c>
    </row>
    <row r="115" spans="1:24" ht="168" x14ac:dyDescent="0.3">
      <c r="A115" s="232" t="s">
        <v>347</v>
      </c>
      <c r="B115" s="232" t="s">
        <v>1290</v>
      </c>
      <c r="C115" s="232">
        <v>0</v>
      </c>
      <c r="D115" s="232">
        <v>0</v>
      </c>
      <c r="E115" s="232">
        <v>1</v>
      </c>
      <c r="F115" s="232">
        <v>0</v>
      </c>
      <c r="G115" s="232">
        <v>0</v>
      </c>
      <c r="H115" s="232">
        <v>0</v>
      </c>
      <c r="I115" s="232">
        <v>0</v>
      </c>
      <c r="J115" s="232">
        <v>0</v>
      </c>
      <c r="K115" s="232"/>
      <c r="L115" s="232" t="s">
        <v>4</v>
      </c>
      <c r="M115" s="232" t="s">
        <v>1040</v>
      </c>
      <c r="N115" s="232" t="s">
        <v>1321</v>
      </c>
      <c r="O115" s="232" t="s">
        <v>1032</v>
      </c>
      <c r="P115" s="232" t="s">
        <v>353</v>
      </c>
      <c r="Q115" s="232" t="s">
        <v>354</v>
      </c>
      <c r="R115" s="232"/>
      <c r="S115" s="232" t="s">
        <v>1372</v>
      </c>
      <c r="T115" s="232" t="s">
        <v>1373</v>
      </c>
      <c r="U115" s="232" t="s">
        <v>40</v>
      </c>
      <c r="V115" s="232" t="s">
        <v>1040</v>
      </c>
      <c r="W115" s="232" t="s">
        <v>46</v>
      </c>
      <c r="X115" s="232">
        <f t="shared" si="1"/>
        <v>20</v>
      </c>
    </row>
    <row r="116" spans="1:24" ht="140" x14ac:dyDescent="0.3">
      <c r="A116" s="232" t="s">
        <v>352</v>
      </c>
      <c r="B116" s="232" t="s">
        <v>1058</v>
      </c>
      <c r="C116" s="232">
        <v>0</v>
      </c>
      <c r="D116" s="232">
        <v>0</v>
      </c>
      <c r="E116" s="232">
        <v>1</v>
      </c>
      <c r="F116" s="232">
        <v>0</v>
      </c>
      <c r="G116" s="232">
        <v>0</v>
      </c>
      <c r="H116" s="232">
        <v>0</v>
      </c>
      <c r="I116" s="232">
        <v>0</v>
      </c>
      <c r="J116" s="232">
        <v>1</v>
      </c>
      <c r="K116" s="232"/>
      <c r="L116" s="232" t="s">
        <v>4</v>
      </c>
      <c r="M116" s="232" t="s">
        <v>1040</v>
      </c>
      <c r="N116" s="232" t="s">
        <v>1321</v>
      </c>
      <c r="O116" s="232" t="s">
        <v>1032</v>
      </c>
      <c r="P116" s="232" t="s">
        <v>358</v>
      </c>
      <c r="Q116" s="232" t="s">
        <v>356</v>
      </c>
      <c r="R116" s="232"/>
      <c r="S116" s="232" t="s">
        <v>1374</v>
      </c>
      <c r="T116" s="232" t="s">
        <v>1375</v>
      </c>
      <c r="U116" s="232" t="s">
        <v>40</v>
      </c>
      <c r="V116" s="232" t="s">
        <v>1040</v>
      </c>
      <c r="W116" s="232" t="s">
        <v>46</v>
      </c>
      <c r="X116" s="232">
        <f t="shared" si="1"/>
        <v>20</v>
      </c>
    </row>
    <row r="117" spans="1:24" ht="126" x14ac:dyDescent="0.3">
      <c r="A117" s="232" t="s">
        <v>355</v>
      </c>
      <c r="B117" s="232" t="s">
        <v>1059</v>
      </c>
      <c r="C117" s="232">
        <v>0</v>
      </c>
      <c r="D117" s="232">
        <v>0</v>
      </c>
      <c r="E117" s="232">
        <v>1</v>
      </c>
      <c r="F117" s="232">
        <v>0</v>
      </c>
      <c r="G117" s="232">
        <v>0</v>
      </c>
      <c r="H117" s="232">
        <v>0</v>
      </c>
      <c r="I117" s="232">
        <v>0</v>
      </c>
      <c r="J117" s="232">
        <v>1</v>
      </c>
      <c r="K117" s="232"/>
      <c r="L117" s="232" t="s">
        <v>4</v>
      </c>
      <c r="M117" s="232" t="s">
        <v>1040</v>
      </c>
      <c r="N117" s="232" t="s">
        <v>1321</v>
      </c>
      <c r="O117" s="232" t="s">
        <v>1032</v>
      </c>
      <c r="P117" s="232" t="s">
        <v>368</v>
      </c>
      <c r="Q117" s="232" t="s">
        <v>369</v>
      </c>
      <c r="R117" s="232"/>
      <c r="S117" s="232" t="s">
        <v>370</v>
      </c>
      <c r="T117" s="232" t="s">
        <v>1376</v>
      </c>
      <c r="U117" s="232" t="s">
        <v>40</v>
      </c>
      <c r="V117" s="232" t="s">
        <v>1040</v>
      </c>
      <c r="W117" s="232" t="s">
        <v>46</v>
      </c>
      <c r="X117" s="232">
        <f t="shared" si="1"/>
        <v>20</v>
      </c>
    </row>
    <row r="118" spans="1:24" ht="154" x14ac:dyDescent="0.3">
      <c r="A118" s="232" t="s">
        <v>357</v>
      </c>
      <c r="B118" s="232" t="s">
        <v>1060</v>
      </c>
      <c r="C118" s="232">
        <v>0</v>
      </c>
      <c r="D118" s="232">
        <v>0</v>
      </c>
      <c r="E118" s="232">
        <v>1</v>
      </c>
      <c r="F118" s="232">
        <v>0</v>
      </c>
      <c r="G118" s="232">
        <v>0</v>
      </c>
      <c r="H118" s="232">
        <v>0</v>
      </c>
      <c r="I118" s="232">
        <v>0</v>
      </c>
      <c r="J118" s="232">
        <v>0</v>
      </c>
      <c r="K118" s="232"/>
      <c r="L118" s="232" t="s">
        <v>4</v>
      </c>
      <c r="M118" s="232" t="s">
        <v>1040</v>
      </c>
      <c r="N118" s="232" t="s">
        <v>1321</v>
      </c>
      <c r="O118" s="232" t="s">
        <v>1032</v>
      </c>
      <c r="P118" s="232" t="s">
        <v>1032</v>
      </c>
      <c r="Q118" s="232" t="s">
        <v>390</v>
      </c>
      <c r="R118" s="232"/>
      <c r="S118" s="232" t="s">
        <v>391</v>
      </c>
      <c r="T118" s="232" t="s">
        <v>392</v>
      </c>
      <c r="U118" s="232" t="s">
        <v>149</v>
      </c>
      <c r="V118" s="232" t="s">
        <v>1040</v>
      </c>
      <c r="W118" s="232" t="s">
        <v>46</v>
      </c>
      <c r="X118" s="232">
        <f t="shared" si="1"/>
        <v>20</v>
      </c>
    </row>
    <row r="119" spans="1:24" ht="154" x14ac:dyDescent="0.3">
      <c r="A119" s="232" t="s">
        <v>359</v>
      </c>
      <c r="B119" s="232" t="s">
        <v>1061</v>
      </c>
      <c r="C119" s="232">
        <v>0</v>
      </c>
      <c r="D119" s="232">
        <v>0</v>
      </c>
      <c r="E119" s="232">
        <v>1</v>
      </c>
      <c r="F119" s="232">
        <v>0</v>
      </c>
      <c r="G119" s="232">
        <v>0</v>
      </c>
      <c r="H119" s="232">
        <v>0</v>
      </c>
      <c r="I119" s="232">
        <v>0</v>
      </c>
      <c r="J119" s="232">
        <v>0</v>
      </c>
      <c r="K119" s="232"/>
      <c r="L119" s="232" t="s">
        <v>4</v>
      </c>
      <c r="M119" s="232" t="s">
        <v>1040</v>
      </c>
      <c r="N119" s="232" t="s">
        <v>1321</v>
      </c>
      <c r="O119" s="232" t="s">
        <v>1032</v>
      </c>
      <c r="P119" s="232" t="s">
        <v>410</v>
      </c>
      <c r="Q119" s="232" t="s">
        <v>411</v>
      </c>
      <c r="R119" s="232"/>
      <c r="S119" s="232" t="s">
        <v>404</v>
      </c>
      <c r="T119" s="232" t="s">
        <v>405</v>
      </c>
      <c r="U119" s="232" t="s">
        <v>40</v>
      </c>
      <c r="V119" s="232" t="s">
        <v>1040</v>
      </c>
      <c r="W119" s="232" t="s">
        <v>46</v>
      </c>
      <c r="X119" s="232">
        <f t="shared" si="1"/>
        <v>20</v>
      </c>
    </row>
    <row r="120" spans="1:24" ht="126" x14ac:dyDescent="0.3">
      <c r="A120" s="232" t="s">
        <v>363</v>
      </c>
      <c r="B120" s="232" t="s">
        <v>1605</v>
      </c>
      <c r="C120" s="232">
        <v>0</v>
      </c>
      <c r="D120" s="232">
        <v>0</v>
      </c>
      <c r="E120" s="232">
        <v>1</v>
      </c>
      <c r="F120" s="232">
        <v>0</v>
      </c>
      <c r="G120" s="232">
        <v>0</v>
      </c>
      <c r="H120" s="232">
        <v>0</v>
      </c>
      <c r="I120" s="232">
        <v>0</v>
      </c>
      <c r="J120" s="232">
        <v>1</v>
      </c>
      <c r="K120" s="232"/>
      <c r="L120" s="232" t="s">
        <v>4</v>
      </c>
      <c r="M120" s="232" t="s">
        <v>1040</v>
      </c>
      <c r="N120" s="232" t="s">
        <v>1321</v>
      </c>
      <c r="O120" s="232" t="s">
        <v>1606</v>
      </c>
      <c r="P120" s="232" t="s">
        <v>1151</v>
      </c>
      <c r="Q120" s="232" t="s">
        <v>356</v>
      </c>
      <c r="R120" s="232"/>
      <c r="S120" s="232" t="s">
        <v>1377</v>
      </c>
      <c r="T120" s="232" t="s">
        <v>1375</v>
      </c>
      <c r="U120" s="232" t="s">
        <v>40</v>
      </c>
      <c r="V120" s="232" t="s">
        <v>1040</v>
      </c>
      <c r="W120" s="232" t="s">
        <v>75</v>
      </c>
      <c r="X120" s="232">
        <f t="shared" si="1"/>
        <v>10</v>
      </c>
    </row>
    <row r="121" spans="1:24" ht="154" x14ac:dyDescent="0.3">
      <c r="A121" s="232" t="s">
        <v>367</v>
      </c>
      <c r="B121" s="232" t="s">
        <v>360</v>
      </c>
      <c r="C121" s="232">
        <v>0</v>
      </c>
      <c r="D121" s="232">
        <v>0</v>
      </c>
      <c r="E121" s="232">
        <v>1</v>
      </c>
      <c r="F121" s="232">
        <v>0</v>
      </c>
      <c r="G121" s="232">
        <v>0</v>
      </c>
      <c r="H121" s="232">
        <v>0</v>
      </c>
      <c r="I121" s="232">
        <v>0</v>
      </c>
      <c r="J121" s="232">
        <v>1</v>
      </c>
      <c r="K121" s="232"/>
      <c r="L121" s="232" t="s">
        <v>4</v>
      </c>
      <c r="M121" s="232" t="s">
        <v>1040</v>
      </c>
      <c r="N121" s="232" t="s">
        <v>1321</v>
      </c>
      <c r="O121" s="232" t="s">
        <v>1032</v>
      </c>
      <c r="P121" s="232" t="s">
        <v>361</v>
      </c>
      <c r="Q121" s="232" t="s">
        <v>362</v>
      </c>
      <c r="R121" s="232"/>
      <c r="S121" s="232" t="s">
        <v>1378</v>
      </c>
      <c r="T121" s="232" t="s">
        <v>1375</v>
      </c>
      <c r="U121" s="232" t="s">
        <v>40</v>
      </c>
      <c r="V121" s="232" t="s">
        <v>1040</v>
      </c>
      <c r="W121" s="232" t="s">
        <v>75</v>
      </c>
      <c r="X121" s="232">
        <f t="shared" si="1"/>
        <v>10</v>
      </c>
    </row>
    <row r="122" spans="1:24" ht="112" x14ac:dyDescent="0.3">
      <c r="A122" s="232" t="s">
        <v>371</v>
      </c>
      <c r="B122" s="232" t="s">
        <v>382</v>
      </c>
      <c r="C122" s="232">
        <v>0</v>
      </c>
      <c r="D122" s="232">
        <v>0</v>
      </c>
      <c r="E122" s="232">
        <v>1</v>
      </c>
      <c r="F122" s="232">
        <v>0</v>
      </c>
      <c r="G122" s="232">
        <v>0</v>
      </c>
      <c r="H122" s="232">
        <v>0</v>
      </c>
      <c r="I122" s="232">
        <v>0</v>
      </c>
      <c r="J122" s="232">
        <v>1</v>
      </c>
      <c r="K122" s="232"/>
      <c r="L122" s="232" t="s">
        <v>4</v>
      </c>
      <c r="M122" s="232" t="s">
        <v>1040</v>
      </c>
      <c r="N122" s="232" t="s">
        <v>1321</v>
      </c>
      <c r="O122" s="232" t="s">
        <v>1032</v>
      </c>
      <c r="P122" s="232" t="s">
        <v>383</v>
      </c>
      <c r="Q122" s="232" t="s">
        <v>384</v>
      </c>
      <c r="R122" s="232"/>
      <c r="S122" s="232" t="s">
        <v>1379</v>
      </c>
      <c r="T122" s="232" t="s">
        <v>385</v>
      </c>
      <c r="U122" s="232" t="s">
        <v>40</v>
      </c>
      <c r="V122" s="232" t="s">
        <v>1040</v>
      </c>
      <c r="W122" s="232" t="s">
        <v>75</v>
      </c>
      <c r="X122" s="232">
        <f t="shared" si="1"/>
        <v>10</v>
      </c>
    </row>
    <row r="123" spans="1:24" ht="168" x14ac:dyDescent="0.3">
      <c r="A123" s="232" t="s">
        <v>375</v>
      </c>
      <c r="B123" s="232" t="s">
        <v>1152</v>
      </c>
      <c r="C123" s="232">
        <v>0</v>
      </c>
      <c r="D123" s="232">
        <v>0</v>
      </c>
      <c r="E123" s="232">
        <v>1</v>
      </c>
      <c r="F123" s="232">
        <v>0</v>
      </c>
      <c r="G123" s="232">
        <v>0</v>
      </c>
      <c r="H123" s="232">
        <v>0</v>
      </c>
      <c r="I123" s="232">
        <v>0</v>
      </c>
      <c r="J123" s="232">
        <v>1</v>
      </c>
      <c r="K123" s="232"/>
      <c r="L123" s="232" t="s">
        <v>4</v>
      </c>
      <c r="M123" s="232" t="s">
        <v>1040</v>
      </c>
      <c r="N123" s="232" t="s">
        <v>1321</v>
      </c>
      <c r="O123" s="232" t="s">
        <v>1032</v>
      </c>
      <c r="P123" s="232" t="s">
        <v>1153</v>
      </c>
      <c r="Q123" s="232" t="s">
        <v>1154</v>
      </c>
      <c r="R123" s="232"/>
      <c r="S123" s="232" t="s">
        <v>1380</v>
      </c>
      <c r="T123" s="232" t="s">
        <v>1155</v>
      </c>
      <c r="U123" s="232" t="s">
        <v>40</v>
      </c>
      <c r="V123" s="232" t="s">
        <v>1040</v>
      </c>
      <c r="W123" s="232" t="s">
        <v>75</v>
      </c>
      <c r="X123" s="232">
        <f t="shared" si="1"/>
        <v>10</v>
      </c>
    </row>
    <row r="124" spans="1:24" ht="148.5" customHeight="1" x14ac:dyDescent="0.3">
      <c r="A124" s="232" t="s">
        <v>381</v>
      </c>
      <c r="B124" s="232" t="s">
        <v>1156</v>
      </c>
      <c r="C124" s="232">
        <v>0</v>
      </c>
      <c r="D124" s="232">
        <v>0</v>
      </c>
      <c r="E124" s="232">
        <v>1</v>
      </c>
      <c r="F124" s="232">
        <v>0</v>
      </c>
      <c r="G124" s="232">
        <v>0</v>
      </c>
      <c r="H124" s="232">
        <v>0</v>
      </c>
      <c r="I124" s="232">
        <v>0</v>
      </c>
      <c r="J124" s="232">
        <v>1</v>
      </c>
      <c r="K124" s="232"/>
      <c r="L124" s="232" t="s">
        <v>4</v>
      </c>
      <c r="M124" s="232" t="s">
        <v>1040</v>
      </c>
      <c r="N124" s="232" t="s">
        <v>1321</v>
      </c>
      <c r="O124" s="232" t="s">
        <v>1032</v>
      </c>
      <c r="P124" s="232" t="s">
        <v>1157</v>
      </c>
      <c r="Q124" s="232" t="s">
        <v>1158</v>
      </c>
      <c r="R124" s="232"/>
      <c r="S124" s="232" t="s">
        <v>388</v>
      </c>
      <c r="T124" s="232" t="s">
        <v>1159</v>
      </c>
      <c r="U124" s="232" t="s">
        <v>40</v>
      </c>
      <c r="V124" s="232" t="s">
        <v>1040</v>
      </c>
      <c r="W124" s="232" t="s">
        <v>75</v>
      </c>
      <c r="X124" s="232">
        <f t="shared" si="1"/>
        <v>10</v>
      </c>
    </row>
    <row r="125" spans="1:24" ht="147" customHeight="1" x14ac:dyDescent="0.3">
      <c r="A125" s="232" t="s">
        <v>386</v>
      </c>
      <c r="B125" s="232" t="s">
        <v>394</v>
      </c>
      <c r="C125" s="232">
        <v>0</v>
      </c>
      <c r="D125" s="232">
        <v>0</v>
      </c>
      <c r="E125" s="232">
        <v>1</v>
      </c>
      <c r="F125" s="232">
        <v>0</v>
      </c>
      <c r="G125" s="232">
        <v>0</v>
      </c>
      <c r="H125" s="232">
        <v>0</v>
      </c>
      <c r="I125" s="232">
        <v>0</v>
      </c>
      <c r="J125" s="232">
        <v>1</v>
      </c>
      <c r="K125" s="232"/>
      <c r="L125" s="232" t="s">
        <v>4</v>
      </c>
      <c r="M125" s="232" t="s">
        <v>1040</v>
      </c>
      <c r="N125" s="232" t="s">
        <v>1321</v>
      </c>
      <c r="O125" s="232" t="s">
        <v>1032</v>
      </c>
      <c r="P125" s="232" t="s">
        <v>395</v>
      </c>
      <c r="Q125" s="232" t="s">
        <v>396</v>
      </c>
      <c r="R125" s="232"/>
      <c r="S125" s="232" t="s">
        <v>397</v>
      </c>
      <c r="T125" s="232" t="s">
        <v>398</v>
      </c>
      <c r="U125" s="232" t="s">
        <v>40</v>
      </c>
      <c r="V125" s="232" t="s">
        <v>1040</v>
      </c>
      <c r="W125" s="232" t="s">
        <v>41</v>
      </c>
      <c r="X125" s="232">
        <f t="shared" si="1"/>
        <v>5</v>
      </c>
    </row>
    <row r="126" spans="1:24" ht="154" x14ac:dyDescent="0.3">
      <c r="A126" s="232" t="s">
        <v>387</v>
      </c>
      <c r="B126" s="232" t="s">
        <v>1160</v>
      </c>
      <c r="C126" s="232">
        <v>0</v>
      </c>
      <c r="D126" s="232">
        <v>0</v>
      </c>
      <c r="E126" s="232">
        <v>1</v>
      </c>
      <c r="F126" s="232">
        <v>0</v>
      </c>
      <c r="G126" s="232">
        <v>0</v>
      </c>
      <c r="H126" s="232">
        <v>0</v>
      </c>
      <c r="I126" s="232">
        <v>0</v>
      </c>
      <c r="J126" s="232">
        <v>0</v>
      </c>
      <c r="K126" s="232"/>
      <c r="L126" s="232" t="s">
        <v>4</v>
      </c>
      <c r="M126" s="232" t="s">
        <v>1040</v>
      </c>
      <c r="N126" s="232" t="s">
        <v>1321</v>
      </c>
      <c r="O126" s="232" t="s">
        <v>1032</v>
      </c>
      <c r="P126" s="232" t="s">
        <v>402</v>
      </c>
      <c r="Q126" s="232" t="s">
        <v>403</v>
      </c>
      <c r="R126" s="232"/>
      <c r="S126" s="232" t="s">
        <v>404</v>
      </c>
      <c r="T126" s="232" t="s">
        <v>405</v>
      </c>
      <c r="U126" s="232" t="s">
        <v>40</v>
      </c>
      <c r="V126" s="232" t="s">
        <v>1040</v>
      </c>
      <c r="W126" s="232" t="s">
        <v>75</v>
      </c>
      <c r="X126" s="232">
        <f t="shared" si="1"/>
        <v>10</v>
      </c>
    </row>
    <row r="127" spans="1:24" ht="154" x14ac:dyDescent="0.3">
      <c r="A127" s="232" t="s">
        <v>389</v>
      </c>
      <c r="B127" s="232" t="s">
        <v>1547</v>
      </c>
      <c r="C127" s="232">
        <v>0</v>
      </c>
      <c r="D127" s="232">
        <v>0</v>
      </c>
      <c r="E127" s="232">
        <v>1</v>
      </c>
      <c r="F127" s="232">
        <v>0</v>
      </c>
      <c r="G127" s="232">
        <v>0</v>
      </c>
      <c r="H127" s="232">
        <v>0</v>
      </c>
      <c r="I127" s="232">
        <v>0</v>
      </c>
      <c r="J127" s="232">
        <v>0</v>
      </c>
      <c r="K127" s="232"/>
      <c r="L127" s="232" t="s">
        <v>4</v>
      </c>
      <c r="M127" s="232" t="s">
        <v>1040</v>
      </c>
      <c r="N127" s="232" t="s">
        <v>1321</v>
      </c>
      <c r="O127" s="232" t="s">
        <v>1032</v>
      </c>
      <c r="P127" s="232" t="s">
        <v>407</v>
      </c>
      <c r="Q127" s="232" t="s">
        <v>1032</v>
      </c>
      <c r="R127" s="232"/>
      <c r="S127" s="232" t="s">
        <v>404</v>
      </c>
      <c r="T127" s="232" t="s">
        <v>408</v>
      </c>
      <c r="U127" s="232" t="s">
        <v>40</v>
      </c>
      <c r="V127" s="232" t="s">
        <v>1040</v>
      </c>
      <c r="W127" s="232" t="s">
        <v>75</v>
      </c>
      <c r="X127" s="232">
        <f t="shared" si="1"/>
        <v>10</v>
      </c>
    </row>
    <row r="128" spans="1:24" ht="168" x14ac:dyDescent="0.3">
      <c r="A128" s="232" t="s">
        <v>393</v>
      </c>
      <c r="B128" s="232" t="s">
        <v>1161</v>
      </c>
      <c r="C128" s="232">
        <v>0</v>
      </c>
      <c r="D128" s="232">
        <v>0</v>
      </c>
      <c r="E128" s="232">
        <v>1</v>
      </c>
      <c r="F128" s="232">
        <v>0</v>
      </c>
      <c r="G128" s="232">
        <v>0</v>
      </c>
      <c r="H128" s="232">
        <v>0</v>
      </c>
      <c r="I128" s="232">
        <v>0</v>
      </c>
      <c r="J128" s="232">
        <v>1</v>
      </c>
      <c r="K128" s="232"/>
      <c r="L128" s="232" t="s">
        <v>4</v>
      </c>
      <c r="M128" s="232" t="s">
        <v>1040</v>
      </c>
      <c r="N128" s="232" t="s">
        <v>1321</v>
      </c>
      <c r="O128" s="232" t="s">
        <v>1032</v>
      </c>
      <c r="P128" s="232" t="s">
        <v>1032</v>
      </c>
      <c r="Q128" s="232" t="s">
        <v>417</v>
      </c>
      <c r="R128" s="232"/>
      <c r="S128" s="232" t="s">
        <v>1381</v>
      </c>
      <c r="T128" s="232" t="s">
        <v>1382</v>
      </c>
      <c r="U128" s="232" t="s">
        <v>40</v>
      </c>
      <c r="V128" s="232" t="s">
        <v>1040</v>
      </c>
      <c r="W128" s="232" t="s">
        <v>75</v>
      </c>
      <c r="X128" s="232">
        <f t="shared" si="1"/>
        <v>10</v>
      </c>
    </row>
    <row r="129" spans="1:24" ht="409" customHeight="1" x14ac:dyDescent="0.3">
      <c r="A129" s="232" t="s">
        <v>399</v>
      </c>
      <c r="B129" s="232" t="s">
        <v>418</v>
      </c>
      <c r="C129" s="232">
        <v>0</v>
      </c>
      <c r="D129" s="232">
        <v>0</v>
      </c>
      <c r="E129" s="232">
        <v>1</v>
      </c>
      <c r="F129" s="232">
        <v>0</v>
      </c>
      <c r="G129" s="232">
        <v>0</v>
      </c>
      <c r="H129" s="232">
        <v>0</v>
      </c>
      <c r="I129" s="232">
        <v>0</v>
      </c>
      <c r="J129" s="232">
        <v>0</v>
      </c>
      <c r="K129" s="232"/>
      <c r="L129" s="232" t="s">
        <v>4</v>
      </c>
      <c r="M129" s="232" t="s">
        <v>1040</v>
      </c>
      <c r="N129" s="232" t="s">
        <v>1321</v>
      </c>
      <c r="O129" s="232" t="s">
        <v>1032</v>
      </c>
      <c r="P129" s="232" t="s">
        <v>1032</v>
      </c>
      <c r="Q129" s="232" t="s">
        <v>419</v>
      </c>
      <c r="R129" s="232"/>
      <c r="S129" s="232" t="s">
        <v>1471</v>
      </c>
      <c r="T129" s="232" t="s">
        <v>420</v>
      </c>
      <c r="U129" s="232" t="s">
        <v>40</v>
      </c>
      <c r="V129" s="232" t="s">
        <v>1040</v>
      </c>
      <c r="W129" s="232" t="s">
        <v>75</v>
      </c>
      <c r="X129" s="232">
        <f t="shared" ref="X129:X189" si="2">IF($W129="Critical Importance",20,IF($W129="Minor Importance",5,10))</f>
        <v>10</v>
      </c>
    </row>
    <row r="130" spans="1:24" ht="294" customHeight="1" x14ac:dyDescent="0.3">
      <c r="A130" s="232" t="s">
        <v>401</v>
      </c>
      <c r="B130" s="232" t="s">
        <v>1252</v>
      </c>
      <c r="C130" s="232">
        <v>0</v>
      </c>
      <c r="D130" s="232">
        <v>0</v>
      </c>
      <c r="E130" s="232">
        <v>1</v>
      </c>
      <c r="F130" s="232">
        <v>0</v>
      </c>
      <c r="G130" s="232">
        <v>0</v>
      </c>
      <c r="H130" s="232">
        <v>0</v>
      </c>
      <c r="I130" s="232">
        <v>0</v>
      </c>
      <c r="J130" s="232">
        <v>0</v>
      </c>
      <c r="K130" s="232"/>
      <c r="L130" s="232" t="s">
        <v>4</v>
      </c>
      <c r="M130" s="232" t="s">
        <v>1040</v>
      </c>
      <c r="N130" s="232" t="s">
        <v>1321</v>
      </c>
      <c r="O130" s="232" t="s">
        <v>1032</v>
      </c>
      <c r="P130" s="232" t="s">
        <v>337</v>
      </c>
      <c r="Q130" s="232" t="s">
        <v>338</v>
      </c>
      <c r="R130" s="232"/>
      <c r="S130" s="232" t="s">
        <v>1383</v>
      </c>
      <c r="T130" s="232" t="s">
        <v>339</v>
      </c>
      <c r="U130" s="232" t="s">
        <v>40</v>
      </c>
      <c r="V130" s="232" t="s">
        <v>1040</v>
      </c>
      <c r="W130" s="232" t="s">
        <v>41</v>
      </c>
      <c r="X130" s="232">
        <f t="shared" si="2"/>
        <v>5</v>
      </c>
    </row>
    <row r="131" spans="1:24" ht="220.5" customHeight="1" x14ac:dyDescent="0.3">
      <c r="A131" s="232" t="s">
        <v>406</v>
      </c>
      <c r="B131" s="232" t="s">
        <v>364</v>
      </c>
      <c r="C131" s="232">
        <v>0</v>
      </c>
      <c r="D131" s="232">
        <v>0</v>
      </c>
      <c r="E131" s="232">
        <v>1</v>
      </c>
      <c r="F131" s="232">
        <v>0</v>
      </c>
      <c r="G131" s="232">
        <v>0</v>
      </c>
      <c r="H131" s="232">
        <v>0</v>
      </c>
      <c r="I131" s="232">
        <v>0</v>
      </c>
      <c r="J131" s="232">
        <v>1</v>
      </c>
      <c r="K131" s="232"/>
      <c r="L131" s="232" t="s">
        <v>4</v>
      </c>
      <c r="M131" s="232" t="s">
        <v>1040</v>
      </c>
      <c r="N131" s="232" t="s">
        <v>1321</v>
      </c>
      <c r="O131" s="232" t="s">
        <v>1032</v>
      </c>
      <c r="P131" s="232" t="s">
        <v>365</v>
      </c>
      <c r="Q131" s="232" t="s">
        <v>366</v>
      </c>
      <c r="R131" s="232"/>
      <c r="S131" s="232" t="s">
        <v>1384</v>
      </c>
      <c r="T131" s="232" t="s">
        <v>1376</v>
      </c>
      <c r="U131" s="232" t="s">
        <v>40</v>
      </c>
      <c r="V131" s="232" t="s">
        <v>1040</v>
      </c>
      <c r="W131" s="232" t="s">
        <v>41</v>
      </c>
      <c r="X131" s="232">
        <f t="shared" si="2"/>
        <v>5</v>
      </c>
    </row>
    <row r="132" spans="1:24" ht="126" x14ac:dyDescent="0.3">
      <c r="A132" s="232" t="s">
        <v>409</v>
      </c>
      <c r="B132" s="232" t="s">
        <v>372</v>
      </c>
      <c r="C132" s="232">
        <v>0</v>
      </c>
      <c r="D132" s="232">
        <v>0</v>
      </c>
      <c r="E132" s="232">
        <v>1</v>
      </c>
      <c r="F132" s="232">
        <v>0</v>
      </c>
      <c r="G132" s="232">
        <v>0</v>
      </c>
      <c r="H132" s="232">
        <v>0</v>
      </c>
      <c r="I132" s="232">
        <v>0</v>
      </c>
      <c r="J132" s="232">
        <v>1</v>
      </c>
      <c r="K132" s="232"/>
      <c r="L132" s="232" t="s">
        <v>4</v>
      </c>
      <c r="M132" s="232" t="s">
        <v>1040</v>
      </c>
      <c r="N132" s="232" t="s">
        <v>1321</v>
      </c>
      <c r="O132" s="232" t="s">
        <v>1032</v>
      </c>
      <c r="P132" s="232" t="s">
        <v>373</v>
      </c>
      <c r="Q132" s="232" t="s">
        <v>374</v>
      </c>
      <c r="R132" s="232"/>
      <c r="S132" s="232" t="s">
        <v>370</v>
      </c>
      <c r="T132" s="232" t="s">
        <v>1376</v>
      </c>
      <c r="U132" s="232" t="s">
        <v>40</v>
      </c>
      <c r="V132" s="232" t="s">
        <v>1040</v>
      </c>
      <c r="W132" s="232" t="s">
        <v>41</v>
      </c>
      <c r="X132" s="232">
        <f t="shared" si="2"/>
        <v>5</v>
      </c>
    </row>
    <row r="133" spans="1:24" ht="168" x14ac:dyDescent="0.3">
      <c r="A133" s="232" t="s">
        <v>412</v>
      </c>
      <c r="B133" s="232" t="s">
        <v>376</v>
      </c>
      <c r="C133" s="232">
        <v>0</v>
      </c>
      <c r="D133" s="232">
        <v>0</v>
      </c>
      <c r="E133" s="232">
        <v>1</v>
      </c>
      <c r="F133" s="232">
        <v>0</v>
      </c>
      <c r="G133" s="232">
        <v>0</v>
      </c>
      <c r="H133" s="232">
        <v>0</v>
      </c>
      <c r="I133" s="232">
        <v>0</v>
      </c>
      <c r="J133" s="232">
        <v>1</v>
      </c>
      <c r="K133" s="232"/>
      <c r="L133" s="232" t="s">
        <v>4</v>
      </c>
      <c r="M133" s="232" t="s">
        <v>1040</v>
      </c>
      <c r="N133" s="232" t="s">
        <v>1321</v>
      </c>
      <c r="O133" s="232" t="s">
        <v>377</v>
      </c>
      <c r="P133" s="232" t="s">
        <v>378</v>
      </c>
      <c r="Q133" s="232" t="s">
        <v>379</v>
      </c>
      <c r="R133" s="232"/>
      <c r="S133" s="232" t="s">
        <v>380</v>
      </c>
      <c r="T133" s="232" t="s">
        <v>1385</v>
      </c>
      <c r="U133" s="232" t="s">
        <v>40</v>
      </c>
      <c r="V133" s="232" t="s">
        <v>1040</v>
      </c>
      <c r="W133" s="232" t="s">
        <v>41</v>
      </c>
      <c r="X133" s="232">
        <f t="shared" si="2"/>
        <v>5</v>
      </c>
    </row>
    <row r="134" spans="1:24" ht="224" x14ac:dyDescent="0.3">
      <c r="A134" s="232" t="s">
        <v>416</v>
      </c>
      <c r="B134" s="232" t="s">
        <v>1162</v>
      </c>
      <c r="C134" s="232">
        <v>0</v>
      </c>
      <c r="D134" s="232">
        <v>0</v>
      </c>
      <c r="E134" s="232">
        <v>1</v>
      </c>
      <c r="F134" s="232">
        <v>0</v>
      </c>
      <c r="G134" s="232">
        <v>0</v>
      </c>
      <c r="H134" s="232">
        <v>0</v>
      </c>
      <c r="I134" s="232">
        <v>0</v>
      </c>
      <c r="J134" s="232">
        <v>0</v>
      </c>
      <c r="K134" s="232"/>
      <c r="L134" s="232" t="s">
        <v>4</v>
      </c>
      <c r="M134" s="232" t="s">
        <v>1040</v>
      </c>
      <c r="N134" s="232" t="s">
        <v>1321</v>
      </c>
      <c r="O134" s="232" t="s">
        <v>400</v>
      </c>
      <c r="P134" s="232"/>
      <c r="Q134" s="232"/>
      <c r="R134" s="232"/>
      <c r="S134" s="232" t="s">
        <v>1386</v>
      </c>
      <c r="T134" s="232" t="s">
        <v>1387</v>
      </c>
      <c r="U134" s="232" t="s">
        <v>40</v>
      </c>
      <c r="V134" s="232" t="s">
        <v>1040</v>
      </c>
      <c r="W134" s="232" t="s">
        <v>41</v>
      </c>
      <c r="X134" s="232">
        <f t="shared" si="2"/>
        <v>5</v>
      </c>
    </row>
    <row r="135" spans="1:24" ht="252" x14ac:dyDescent="0.3">
      <c r="A135" s="233" t="s">
        <v>421</v>
      </c>
      <c r="B135" s="232" t="s">
        <v>422</v>
      </c>
      <c r="C135" s="232">
        <v>0</v>
      </c>
      <c r="D135" s="232">
        <v>0</v>
      </c>
      <c r="E135" s="232">
        <v>0</v>
      </c>
      <c r="F135" s="232">
        <v>1</v>
      </c>
      <c r="G135" s="232">
        <v>0</v>
      </c>
      <c r="H135" s="232">
        <v>0</v>
      </c>
      <c r="I135" s="232">
        <v>0</v>
      </c>
      <c r="J135" s="232">
        <v>1</v>
      </c>
      <c r="K135" s="232"/>
      <c r="L135" s="232" t="s">
        <v>1062</v>
      </c>
      <c r="M135" s="232" t="s">
        <v>1040</v>
      </c>
      <c r="N135" s="232" t="s">
        <v>1388</v>
      </c>
      <c r="O135" s="232" t="s">
        <v>423</v>
      </c>
      <c r="P135" s="232" t="s">
        <v>1032</v>
      </c>
      <c r="Q135" s="232" t="s">
        <v>1032</v>
      </c>
      <c r="R135" s="232"/>
      <c r="S135" s="232" t="s">
        <v>424</v>
      </c>
      <c r="T135" s="232" t="s">
        <v>425</v>
      </c>
      <c r="U135" s="232" t="s">
        <v>1062</v>
      </c>
      <c r="V135" s="232" t="s">
        <v>1040</v>
      </c>
      <c r="W135" s="232"/>
      <c r="X135" s="232">
        <f t="shared" si="2"/>
        <v>10</v>
      </c>
    </row>
    <row r="136" spans="1:24" ht="392" x14ac:dyDescent="0.3">
      <c r="A136" s="232" t="s">
        <v>426</v>
      </c>
      <c r="B136" s="232" t="s">
        <v>1541</v>
      </c>
      <c r="C136" s="232">
        <v>0</v>
      </c>
      <c r="D136" s="232">
        <v>0</v>
      </c>
      <c r="E136" s="232">
        <v>0</v>
      </c>
      <c r="F136" s="232">
        <v>1</v>
      </c>
      <c r="G136" s="232">
        <v>0</v>
      </c>
      <c r="H136" s="232">
        <v>0</v>
      </c>
      <c r="I136" s="232">
        <v>0</v>
      </c>
      <c r="J136" s="232">
        <v>0</v>
      </c>
      <c r="K136" s="232"/>
      <c r="L136" s="232" t="s">
        <v>165</v>
      </c>
      <c r="M136" s="232" t="s">
        <v>1040</v>
      </c>
      <c r="N136" s="232" t="s">
        <v>1032</v>
      </c>
      <c r="O136" s="232" t="s">
        <v>1032</v>
      </c>
      <c r="P136" s="232" t="s">
        <v>1032</v>
      </c>
      <c r="Q136" s="232" t="s">
        <v>427</v>
      </c>
      <c r="R136" s="232"/>
      <c r="S136" s="232" t="s">
        <v>1389</v>
      </c>
      <c r="T136" s="232" t="s">
        <v>1390</v>
      </c>
      <c r="U136" s="232" t="s">
        <v>40</v>
      </c>
      <c r="V136" s="232" t="s">
        <v>1040</v>
      </c>
      <c r="W136" s="232" t="s">
        <v>75</v>
      </c>
      <c r="X136" s="232">
        <f t="shared" si="2"/>
        <v>10</v>
      </c>
    </row>
    <row r="137" spans="1:24" ht="339.75" customHeight="1" x14ac:dyDescent="0.3">
      <c r="A137" s="233" t="s">
        <v>428</v>
      </c>
      <c r="B137" s="232" t="s">
        <v>1163</v>
      </c>
      <c r="C137" s="232">
        <v>0</v>
      </c>
      <c r="D137" s="232">
        <v>0</v>
      </c>
      <c r="E137" s="232">
        <v>0</v>
      </c>
      <c r="F137" s="232">
        <v>1</v>
      </c>
      <c r="G137" s="232">
        <v>0</v>
      </c>
      <c r="H137" s="232">
        <v>0</v>
      </c>
      <c r="I137" s="232">
        <v>0</v>
      </c>
      <c r="J137" s="232">
        <v>1</v>
      </c>
      <c r="K137" s="232"/>
      <c r="L137" s="232" t="s">
        <v>165</v>
      </c>
      <c r="M137" s="232" t="s">
        <v>1040</v>
      </c>
      <c r="N137" s="232" t="s">
        <v>1032</v>
      </c>
      <c r="O137" s="232" t="s">
        <v>429</v>
      </c>
      <c r="P137" s="232" t="s">
        <v>430</v>
      </c>
      <c r="Q137" s="232" t="s">
        <v>1032</v>
      </c>
      <c r="R137" s="232"/>
      <c r="S137" s="232" t="s">
        <v>1391</v>
      </c>
      <c r="T137" s="232" t="s">
        <v>1392</v>
      </c>
      <c r="U137" s="232" t="s">
        <v>40</v>
      </c>
      <c r="V137" s="232" t="s">
        <v>1040</v>
      </c>
      <c r="W137" s="232" t="s">
        <v>75</v>
      </c>
      <c r="X137" s="232">
        <f t="shared" si="2"/>
        <v>10</v>
      </c>
    </row>
    <row r="138" spans="1:24" ht="186" customHeight="1" x14ac:dyDescent="0.3">
      <c r="A138" s="232" t="s">
        <v>431</v>
      </c>
      <c r="B138" s="232" t="s">
        <v>432</v>
      </c>
      <c r="C138" s="232">
        <v>0</v>
      </c>
      <c r="D138" s="232">
        <v>0</v>
      </c>
      <c r="E138" s="232">
        <v>0</v>
      </c>
      <c r="F138" s="232">
        <v>1</v>
      </c>
      <c r="G138" s="232">
        <v>0</v>
      </c>
      <c r="H138" s="232">
        <v>0</v>
      </c>
      <c r="I138" s="232">
        <v>0</v>
      </c>
      <c r="J138" s="232">
        <v>0</v>
      </c>
      <c r="K138" s="232"/>
      <c r="L138" s="232" t="s">
        <v>165</v>
      </c>
      <c r="M138" s="232" t="s">
        <v>1040</v>
      </c>
      <c r="N138" s="232" t="s">
        <v>1032</v>
      </c>
      <c r="O138" s="232" t="s">
        <v>1032</v>
      </c>
      <c r="P138" s="232" t="s">
        <v>433</v>
      </c>
      <c r="Q138" s="232" t="s">
        <v>434</v>
      </c>
      <c r="R138" s="232"/>
      <c r="S138" s="232" t="s">
        <v>1472</v>
      </c>
      <c r="T138" s="232" t="s">
        <v>435</v>
      </c>
      <c r="U138" s="232" t="s">
        <v>40</v>
      </c>
      <c r="V138" s="232" t="s">
        <v>1040</v>
      </c>
      <c r="W138" s="232" t="s">
        <v>75</v>
      </c>
      <c r="X138" s="232">
        <f t="shared" si="2"/>
        <v>10</v>
      </c>
    </row>
    <row r="139" spans="1:24" ht="168" x14ac:dyDescent="0.3">
      <c r="A139" s="233" t="s">
        <v>436</v>
      </c>
      <c r="B139" s="232" t="s">
        <v>1546</v>
      </c>
      <c r="C139" s="232">
        <v>0</v>
      </c>
      <c r="D139" s="232">
        <v>0</v>
      </c>
      <c r="E139" s="232">
        <v>0</v>
      </c>
      <c r="F139" s="232">
        <v>1</v>
      </c>
      <c r="G139" s="232">
        <v>0</v>
      </c>
      <c r="H139" s="232">
        <v>0</v>
      </c>
      <c r="I139" s="232">
        <v>0</v>
      </c>
      <c r="J139" s="232">
        <v>0</v>
      </c>
      <c r="K139" s="232"/>
      <c r="L139" s="232" t="s">
        <v>165</v>
      </c>
      <c r="M139" s="232" t="s">
        <v>1040</v>
      </c>
      <c r="N139" s="232" t="s">
        <v>1032</v>
      </c>
      <c r="O139" s="232" t="s">
        <v>1032</v>
      </c>
      <c r="P139" s="232" t="s">
        <v>1164</v>
      </c>
      <c r="Q139" s="232" t="s">
        <v>437</v>
      </c>
      <c r="R139" s="232"/>
      <c r="S139" s="232" t="s">
        <v>1393</v>
      </c>
      <c r="T139" s="232" t="s">
        <v>438</v>
      </c>
      <c r="U139" s="232" t="s">
        <v>40</v>
      </c>
      <c r="V139" s="232" t="s">
        <v>1040</v>
      </c>
      <c r="W139" s="232" t="s">
        <v>75</v>
      </c>
      <c r="X139" s="232">
        <f t="shared" si="2"/>
        <v>10</v>
      </c>
    </row>
    <row r="140" spans="1:24" ht="168" x14ac:dyDescent="0.3">
      <c r="A140" s="232" t="s">
        <v>439</v>
      </c>
      <c r="B140" s="232" t="s">
        <v>1063</v>
      </c>
      <c r="C140" s="232">
        <v>0</v>
      </c>
      <c r="D140" s="232">
        <v>0</v>
      </c>
      <c r="E140" s="232">
        <v>0</v>
      </c>
      <c r="F140" s="232">
        <v>1</v>
      </c>
      <c r="G140" s="232">
        <v>0</v>
      </c>
      <c r="H140" s="232">
        <v>0</v>
      </c>
      <c r="I140" s="232">
        <v>0</v>
      </c>
      <c r="J140" s="232">
        <v>0</v>
      </c>
      <c r="K140" s="232"/>
      <c r="L140" s="232" t="s">
        <v>165</v>
      </c>
      <c r="M140" s="232" t="s">
        <v>1040</v>
      </c>
      <c r="N140" s="232" t="s">
        <v>1032</v>
      </c>
      <c r="O140" s="232" t="s">
        <v>1032</v>
      </c>
      <c r="P140" s="232" t="s">
        <v>440</v>
      </c>
      <c r="Q140" s="232" t="s">
        <v>1032</v>
      </c>
      <c r="R140" s="232"/>
      <c r="S140" s="232" t="s">
        <v>1393</v>
      </c>
      <c r="T140" s="232" t="s">
        <v>438</v>
      </c>
      <c r="U140" s="232" t="s">
        <v>40</v>
      </c>
      <c r="V140" s="232" t="s">
        <v>1040</v>
      </c>
      <c r="W140" s="232" t="s">
        <v>46</v>
      </c>
      <c r="X140" s="232">
        <f t="shared" si="2"/>
        <v>20</v>
      </c>
    </row>
    <row r="141" spans="1:24" ht="214.5" customHeight="1" x14ac:dyDescent="0.3">
      <c r="A141" s="233" t="s">
        <v>441</v>
      </c>
      <c r="B141" s="232" t="s">
        <v>442</v>
      </c>
      <c r="C141" s="232">
        <v>0</v>
      </c>
      <c r="D141" s="232">
        <v>0</v>
      </c>
      <c r="E141" s="232">
        <v>0</v>
      </c>
      <c r="F141" s="232">
        <v>1</v>
      </c>
      <c r="G141" s="232">
        <v>0</v>
      </c>
      <c r="H141" s="232">
        <v>0</v>
      </c>
      <c r="I141" s="232">
        <v>0</v>
      </c>
      <c r="J141" s="232">
        <v>0</v>
      </c>
      <c r="K141" s="232"/>
      <c r="L141" s="232" t="s">
        <v>165</v>
      </c>
      <c r="M141" s="232" t="s">
        <v>1040</v>
      </c>
      <c r="N141" s="232" t="s">
        <v>1032</v>
      </c>
      <c r="O141" s="232" t="s">
        <v>1032</v>
      </c>
      <c r="P141" s="232" t="s">
        <v>443</v>
      </c>
      <c r="Q141" s="232" t="s">
        <v>444</v>
      </c>
      <c r="R141" s="232"/>
      <c r="S141" s="232" t="s">
        <v>1394</v>
      </c>
      <c r="T141" s="232" t="s">
        <v>445</v>
      </c>
      <c r="U141" s="232" t="s">
        <v>40</v>
      </c>
      <c r="V141" s="232" t="s">
        <v>1040</v>
      </c>
      <c r="W141" s="232" t="s">
        <v>75</v>
      </c>
      <c r="X141" s="232">
        <f t="shared" si="2"/>
        <v>10</v>
      </c>
    </row>
    <row r="142" spans="1:24" ht="70" x14ac:dyDescent="0.3">
      <c r="A142" s="232" t="s">
        <v>446</v>
      </c>
      <c r="B142" s="232" t="s">
        <v>449</v>
      </c>
      <c r="C142" s="232">
        <v>0</v>
      </c>
      <c r="D142" s="232">
        <v>0</v>
      </c>
      <c r="E142" s="232">
        <v>0</v>
      </c>
      <c r="F142" s="232">
        <v>1</v>
      </c>
      <c r="G142" s="232">
        <v>0</v>
      </c>
      <c r="H142" s="232">
        <v>0</v>
      </c>
      <c r="I142" s="232">
        <v>0</v>
      </c>
      <c r="J142" s="232">
        <v>0</v>
      </c>
      <c r="K142" s="232"/>
      <c r="L142" s="232" t="s">
        <v>165</v>
      </c>
      <c r="M142" s="232" t="s">
        <v>1040</v>
      </c>
      <c r="N142" s="232" t="s">
        <v>1032</v>
      </c>
      <c r="O142" s="232" t="s">
        <v>1032</v>
      </c>
      <c r="P142" s="232" t="s">
        <v>450</v>
      </c>
      <c r="Q142" s="232" t="s">
        <v>451</v>
      </c>
      <c r="R142" s="232"/>
      <c r="S142" s="232" t="s">
        <v>452</v>
      </c>
      <c r="T142" s="232" t="s">
        <v>1395</v>
      </c>
      <c r="U142" s="232" t="s">
        <v>40</v>
      </c>
      <c r="V142" s="232" t="s">
        <v>1040</v>
      </c>
      <c r="W142" s="232" t="s">
        <v>75</v>
      </c>
      <c r="X142" s="232">
        <f t="shared" si="2"/>
        <v>10</v>
      </c>
    </row>
    <row r="143" spans="1:24" ht="70" x14ac:dyDescent="0.3">
      <c r="A143" s="233" t="s">
        <v>447</v>
      </c>
      <c r="B143" s="232" t="s">
        <v>454</v>
      </c>
      <c r="C143" s="232">
        <v>0</v>
      </c>
      <c r="D143" s="232">
        <v>0</v>
      </c>
      <c r="E143" s="232">
        <v>0</v>
      </c>
      <c r="F143" s="232">
        <v>1</v>
      </c>
      <c r="G143" s="232">
        <v>0</v>
      </c>
      <c r="H143" s="232">
        <v>0</v>
      </c>
      <c r="I143" s="232">
        <v>0</v>
      </c>
      <c r="J143" s="232">
        <v>0</v>
      </c>
      <c r="K143" s="232"/>
      <c r="L143" s="232" t="s">
        <v>165</v>
      </c>
      <c r="M143" s="232" t="s">
        <v>1040</v>
      </c>
      <c r="N143" s="232" t="s">
        <v>1032</v>
      </c>
      <c r="O143" s="232" t="s">
        <v>1032</v>
      </c>
      <c r="P143" s="232" t="s">
        <v>455</v>
      </c>
      <c r="Q143" s="232" t="s">
        <v>1165</v>
      </c>
      <c r="R143" s="232"/>
      <c r="S143" s="232" t="s">
        <v>452</v>
      </c>
      <c r="T143" s="232" t="s">
        <v>1395</v>
      </c>
      <c r="U143" s="232" t="s">
        <v>40</v>
      </c>
      <c r="V143" s="232" t="s">
        <v>1040</v>
      </c>
      <c r="W143" s="232" t="s">
        <v>75</v>
      </c>
      <c r="X143" s="232">
        <f t="shared" si="2"/>
        <v>10</v>
      </c>
    </row>
    <row r="144" spans="1:24" ht="192.75" customHeight="1" x14ac:dyDescent="0.3">
      <c r="A144" s="232" t="s">
        <v>448</v>
      </c>
      <c r="B144" s="232" t="s">
        <v>1064</v>
      </c>
      <c r="C144" s="232">
        <v>0</v>
      </c>
      <c r="D144" s="232">
        <v>0</v>
      </c>
      <c r="E144" s="232">
        <v>0</v>
      </c>
      <c r="F144" s="232">
        <v>1</v>
      </c>
      <c r="G144" s="232">
        <v>0</v>
      </c>
      <c r="H144" s="232">
        <v>0</v>
      </c>
      <c r="I144" s="232">
        <v>0</v>
      </c>
      <c r="J144" s="232">
        <v>0</v>
      </c>
      <c r="K144" s="232"/>
      <c r="L144" s="232" t="s">
        <v>165</v>
      </c>
      <c r="M144" s="232" t="s">
        <v>1040</v>
      </c>
      <c r="N144" s="232" t="s">
        <v>1032</v>
      </c>
      <c r="O144" s="232" t="s">
        <v>1032</v>
      </c>
      <c r="P144" s="232" t="s">
        <v>457</v>
      </c>
      <c r="Q144" s="232" t="s">
        <v>458</v>
      </c>
      <c r="R144" s="232"/>
      <c r="S144" s="232" t="s">
        <v>1166</v>
      </c>
      <c r="T144" s="232" t="s">
        <v>459</v>
      </c>
      <c r="U144" s="232" t="s">
        <v>40</v>
      </c>
      <c r="V144" s="232" t="s">
        <v>1040</v>
      </c>
      <c r="W144" s="232" t="s">
        <v>46</v>
      </c>
      <c r="X144" s="232">
        <f t="shared" si="2"/>
        <v>20</v>
      </c>
    </row>
    <row r="145" spans="1:24" ht="140" x14ac:dyDescent="0.3">
      <c r="A145" s="233" t="s">
        <v>453</v>
      </c>
      <c r="B145" s="232" t="s">
        <v>1553</v>
      </c>
      <c r="C145" s="232">
        <v>0</v>
      </c>
      <c r="D145" s="232">
        <v>0</v>
      </c>
      <c r="E145" s="232">
        <v>0</v>
      </c>
      <c r="F145" s="232">
        <v>1</v>
      </c>
      <c r="G145" s="232">
        <v>0</v>
      </c>
      <c r="H145" s="232">
        <v>0</v>
      </c>
      <c r="I145" s="232">
        <v>0</v>
      </c>
      <c r="J145" s="232">
        <v>0</v>
      </c>
      <c r="K145" s="232"/>
      <c r="L145" s="232" t="s">
        <v>165</v>
      </c>
      <c r="M145" s="232" t="s">
        <v>1040</v>
      </c>
      <c r="N145" s="232" t="s">
        <v>1032</v>
      </c>
      <c r="O145" s="232"/>
      <c r="P145" s="232" t="s">
        <v>1032</v>
      </c>
      <c r="Q145" s="232" t="s">
        <v>1032</v>
      </c>
      <c r="R145" s="232"/>
      <c r="S145" s="232" t="s">
        <v>1167</v>
      </c>
      <c r="T145" s="232" t="s">
        <v>461</v>
      </c>
      <c r="U145" s="232" t="s">
        <v>40</v>
      </c>
      <c r="V145" s="232" t="s">
        <v>1040</v>
      </c>
      <c r="W145" s="232" t="s">
        <v>75</v>
      </c>
      <c r="X145" s="232">
        <f t="shared" si="2"/>
        <v>10</v>
      </c>
    </row>
    <row r="146" spans="1:24" ht="70" x14ac:dyDescent="0.3">
      <c r="A146" s="232" t="s">
        <v>456</v>
      </c>
      <c r="B146" s="232" t="s">
        <v>463</v>
      </c>
      <c r="C146" s="232">
        <v>0</v>
      </c>
      <c r="D146" s="232">
        <v>0</v>
      </c>
      <c r="E146" s="232">
        <v>0</v>
      </c>
      <c r="F146" s="232">
        <v>1</v>
      </c>
      <c r="G146" s="232">
        <v>0</v>
      </c>
      <c r="H146" s="232">
        <v>0</v>
      </c>
      <c r="I146" s="232">
        <v>0</v>
      </c>
      <c r="J146" s="232">
        <v>0</v>
      </c>
      <c r="K146" s="232"/>
      <c r="L146" s="232" t="s">
        <v>165</v>
      </c>
      <c r="M146" s="232" t="s">
        <v>1040</v>
      </c>
      <c r="N146" s="232" t="s">
        <v>1032</v>
      </c>
      <c r="O146" s="232" t="s">
        <v>464</v>
      </c>
      <c r="P146" s="232" t="s">
        <v>1032</v>
      </c>
      <c r="Q146" s="232" t="s">
        <v>465</v>
      </c>
      <c r="R146" s="232"/>
      <c r="S146" s="232" t="s">
        <v>452</v>
      </c>
      <c r="T146" s="232" t="s">
        <v>1395</v>
      </c>
      <c r="U146" s="232" t="s">
        <v>40</v>
      </c>
      <c r="V146" s="232" t="s">
        <v>1040</v>
      </c>
      <c r="W146" s="232" t="s">
        <v>75</v>
      </c>
      <c r="X146" s="232">
        <f t="shared" si="2"/>
        <v>10</v>
      </c>
    </row>
    <row r="147" spans="1:24" ht="70" x14ac:dyDescent="0.3">
      <c r="A147" s="233" t="s">
        <v>460</v>
      </c>
      <c r="B147" s="232" t="s">
        <v>467</v>
      </c>
      <c r="C147" s="232">
        <v>0</v>
      </c>
      <c r="D147" s="232">
        <v>0</v>
      </c>
      <c r="E147" s="232">
        <v>0</v>
      </c>
      <c r="F147" s="232">
        <v>1</v>
      </c>
      <c r="G147" s="232">
        <v>0</v>
      </c>
      <c r="H147" s="232">
        <v>0</v>
      </c>
      <c r="I147" s="232">
        <v>0</v>
      </c>
      <c r="J147" s="232">
        <v>0</v>
      </c>
      <c r="K147" s="232"/>
      <c r="L147" s="232" t="s">
        <v>165</v>
      </c>
      <c r="M147" s="232" t="s">
        <v>1040</v>
      </c>
      <c r="N147" s="232" t="s">
        <v>1032</v>
      </c>
      <c r="O147" s="232" t="s">
        <v>1032</v>
      </c>
      <c r="P147" s="232" t="s">
        <v>468</v>
      </c>
      <c r="Q147" s="232" t="s">
        <v>469</v>
      </c>
      <c r="R147" s="232"/>
      <c r="S147" s="232" t="s">
        <v>452</v>
      </c>
      <c r="T147" s="232" t="s">
        <v>1395</v>
      </c>
      <c r="U147" s="232" t="s">
        <v>40</v>
      </c>
      <c r="V147" s="232" t="s">
        <v>1040</v>
      </c>
      <c r="W147" s="232" t="s">
        <v>75</v>
      </c>
      <c r="X147" s="232">
        <f t="shared" si="2"/>
        <v>10</v>
      </c>
    </row>
    <row r="148" spans="1:24" ht="112" x14ac:dyDescent="0.3">
      <c r="A148" s="232" t="s">
        <v>462</v>
      </c>
      <c r="B148" s="232" t="s">
        <v>1542</v>
      </c>
      <c r="C148" s="232">
        <v>0</v>
      </c>
      <c r="D148" s="232">
        <v>0</v>
      </c>
      <c r="E148" s="232">
        <v>0</v>
      </c>
      <c r="F148" s="232">
        <v>1</v>
      </c>
      <c r="G148" s="232">
        <v>0</v>
      </c>
      <c r="H148" s="232">
        <v>0</v>
      </c>
      <c r="I148" s="232">
        <v>0</v>
      </c>
      <c r="J148" s="232">
        <v>0</v>
      </c>
      <c r="K148" s="232"/>
      <c r="L148" s="232" t="s">
        <v>165</v>
      </c>
      <c r="M148" s="232" t="s">
        <v>1040</v>
      </c>
      <c r="N148" s="232" t="s">
        <v>1032</v>
      </c>
      <c r="O148" s="232" t="s">
        <v>1032</v>
      </c>
      <c r="P148" s="232" t="s">
        <v>471</v>
      </c>
      <c r="Q148" s="232" t="s">
        <v>472</v>
      </c>
      <c r="R148" s="232"/>
      <c r="S148" s="232" t="s">
        <v>260</v>
      </c>
      <c r="T148" s="232" t="s">
        <v>1350</v>
      </c>
      <c r="U148" s="232" t="s">
        <v>40</v>
      </c>
      <c r="V148" s="232" t="s">
        <v>1040</v>
      </c>
      <c r="W148" s="232" t="s">
        <v>75</v>
      </c>
      <c r="X148" s="232">
        <f t="shared" si="2"/>
        <v>10</v>
      </c>
    </row>
    <row r="149" spans="1:24" ht="70" x14ac:dyDescent="0.3">
      <c r="A149" s="233" t="s">
        <v>466</v>
      </c>
      <c r="B149" s="232" t="s">
        <v>1168</v>
      </c>
      <c r="C149" s="232">
        <v>0</v>
      </c>
      <c r="D149" s="232">
        <v>0</v>
      </c>
      <c r="E149" s="232">
        <v>0</v>
      </c>
      <c r="F149" s="232">
        <v>1</v>
      </c>
      <c r="G149" s="232">
        <v>0</v>
      </c>
      <c r="H149" s="232">
        <v>0</v>
      </c>
      <c r="I149" s="232">
        <v>0</v>
      </c>
      <c r="J149" s="232">
        <v>0</v>
      </c>
      <c r="K149" s="232"/>
      <c r="L149" s="232" t="s">
        <v>165</v>
      </c>
      <c r="M149" s="232" t="s">
        <v>1040</v>
      </c>
      <c r="N149" s="232" t="s">
        <v>1032</v>
      </c>
      <c r="O149" s="232" t="s">
        <v>1032</v>
      </c>
      <c r="P149" s="232" t="s">
        <v>473</v>
      </c>
      <c r="Q149" s="232" t="s">
        <v>1032</v>
      </c>
      <c r="R149" s="232"/>
      <c r="S149" s="232" t="s">
        <v>474</v>
      </c>
      <c r="T149" s="232" t="s">
        <v>1396</v>
      </c>
      <c r="U149" s="232" t="s">
        <v>40</v>
      </c>
      <c r="V149" s="232" t="s">
        <v>1040</v>
      </c>
      <c r="W149" s="232" t="s">
        <v>75</v>
      </c>
      <c r="X149" s="232">
        <f t="shared" si="2"/>
        <v>10</v>
      </c>
    </row>
    <row r="150" spans="1:24" ht="224" x14ac:dyDescent="0.3">
      <c r="A150" s="232" t="s">
        <v>470</v>
      </c>
      <c r="B150" s="232" t="s">
        <v>1397</v>
      </c>
      <c r="C150" s="232">
        <v>0</v>
      </c>
      <c r="D150" s="232">
        <v>0</v>
      </c>
      <c r="E150" s="232">
        <v>0</v>
      </c>
      <c r="F150" s="232">
        <v>1</v>
      </c>
      <c r="G150" s="232">
        <v>0</v>
      </c>
      <c r="H150" s="232">
        <v>0</v>
      </c>
      <c r="I150" s="232">
        <v>0</v>
      </c>
      <c r="J150" s="232">
        <v>0</v>
      </c>
      <c r="K150" s="232"/>
      <c r="L150" s="232" t="s">
        <v>165</v>
      </c>
      <c r="M150" s="232" t="s">
        <v>1040</v>
      </c>
      <c r="N150" s="232" t="s">
        <v>1032</v>
      </c>
      <c r="O150" s="232" t="s">
        <v>475</v>
      </c>
      <c r="P150" s="232" t="s">
        <v>1032</v>
      </c>
      <c r="Q150" s="232" t="s">
        <v>1032</v>
      </c>
      <c r="R150" s="232"/>
      <c r="S150" s="232" t="s">
        <v>1386</v>
      </c>
      <c r="T150" s="232" t="s">
        <v>1387</v>
      </c>
      <c r="U150" s="232" t="s">
        <v>149</v>
      </c>
      <c r="V150" s="232" t="s">
        <v>1040</v>
      </c>
      <c r="W150" s="232" t="s">
        <v>75</v>
      </c>
      <c r="X150" s="232">
        <f t="shared" si="2"/>
        <v>10</v>
      </c>
    </row>
    <row r="151" spans="1:24" ht="183" customHeight="1" x14ac:dyDescent="0.3">
      <c r="A151" s="232" t="s">
        <v>476</v>
      </c>
      <c r="B151" s="232" t="s">
        <v>1065</v>
      </c>
      <c r="C151" s="232">
        <v>0</v>
      </c>
      <c r="D151" s="232">
        <v>0</v>
      </c>
      <c r="E151" s="232">
        <v>0</v>
      </c>
      <c r="F151" s="232">
        <v>1</v>
      </c>
      <c r="G151" s="232">
        <v>0</v>
      </c>
      <c r="H151" s="232">
        <v>0</v>
      </c>
      <c r="I151" s="232">
        <v>0</v>
      </c>
      <c r="J151" s="232">
        <v>1</v>
      </c>
      <c r="K151" s="232"/>
      <c r="L151" s="232" t="s">
        <v>165</v>
      </c>
      <c r="M151" s="232" t="s">
        <v>1040</v>
      </c>
      <c r="N151" s="232" t="s">
        <v>1321</v>
      </c>
      <c r="O151" s="232" t="s">
        <v>1032</v>
      </c>
      <c r="P151" s="232" t="s">
        <v>477</v>
      </c>
      <c r="Q151" s="232" t="s">
        <v>478</v>
      </c>
      <c r="R151" s="232"/>
      <c r="S151" s="232" t="s">
        <v>1525</v>
      </c>
      <c r="T151" s="232" t="s">
        <v>1526</v>
      </c>
      <c r="U151" s="232" t="s">
        <v>40</v>
      </c>
      <c r="V151" s="232" t="s">
        <v>1040</v>
      </c>
      <c r="W151" s="232" t="s">
        <v>46</v>
      </c>
      <c r="X151" s="232">
        <f t="shared" si="2"/>
        <v>20</v>
      </c>
    </row>
    <row r="152" spans="1:24" ht="181.5" customHeight="1" x14ac:dyDescent="0.3">
      <c r="A152" s="232" t="s">
        <v>479</v>
      </c>
      <c r="B152" s="232" t="s">
        <v>1066</v>
      </c>
      <c r="C152" s="232">
        <v>0</v>
      </c>
      <c r="D152" s="232">
        <v>0</v>
      </c>
      <c r="E152" s="232">
        <v>0</v>
      </c>
      <c r="F152" s="232">
        <v>1</v>
      </c>
      <c r="G152" s="232">
        <v>0</v>
      </c>
      <c r="H152" s="232">
        <v>0</v>
      </c>
      <c r="I152" s="232">
        <v>0</v>
      </c>
      <c r="J152" s="232">
        <v>1</v>
      </c>
      <c r="K152" s="232"/>
      <c r="L152" s="232" t="s">
        <v>165</v>
      </c>
      <c r="M152" s="232" t="s">
        <v>1040</v>
      </c>
      <c r="N152" s="232" t="s">
        <v>1321</v>
      </c>
      <c r="O152" s="232" t="s">
        <v>1032</v>
      </c>
      <c r="P152" s="232" t="s">
        <v>485</v>
      </c>
      <c r="Q152" s="232" t="s">
        <v>486</v>
      </c>
      <c r="R152" s="232"/>
      <c r="S152" s="232" t="s">
        <v>487</v>
      </c>
      <c r="T152" s="232" t="s">
        <v>488</v>
      </c>
      <c r="U152" s="232" t="s">
        <v>40</v>
      </c>
      <c r="V152" s="232" t="s">
        <v>1040</v>
      </c>
      <c r="W152" s="232" t="s">
        <v>46</v>
      </c>
      <c r="X152" s="232">
        <f t="shared" si="2"/>
        <v>20</v>
      </c>
    </row>
    <row r="153" spans="1:24" ht="204.75" customHeight="1" x14ac:dyDescent="0.3">
      <c r="A153" s="232" t="s">
        <v>484</v>
      </c>
      <c r="B153" s="232" t="s">
        <v>1169</v>
      </c>
      <c r="C153" s="232">
        <v>0</v>
      </c>
      <c r="D153" s="232">
        <v>0</v>
      </c>
      <c r="E153" s="232">
        <v>0</v>
      </c>
      <c r="F153" s="232">
        <v>1</v>
      </c>
      <c r="G153" s="232">
        <v>0</v>
      </c>
      <c r="H153" s="232">
        <v>0</v>
      </c>
      <c r="I153" s="232">
        <v>0</v>
      </c>
      <c r="J153" s="232">
        <v>1</v>
      </c>
      <c r="K153" s="232"/>
      <c r="L153" s="232" t="s">
        <v>165</v>
      </c>
      <c r="M153" s="232" t="s">
        <v>1040</v>
      </c>
      <c r="N153" s="232" t="s">
        <v>1321</v>
      </c>
      <c r="O153" s="232" t="s">
        <v>1032</v>
      </c>
      <c r="P153" s="232" t="s">
        <v>1170</v>
      </c>
      <c r="Q153" s="232" t="s">
        <v>490</v>
      </c>
      <c r="R153" s="232"/>
      <c r="S153" s="232" t="s">
        <v>1398</v>
      </c>
      <c r="T153" s="232" t="s">
        <v>491</v>
      </c>
      <c r="U153" s="232" t="s">
        <v>40</v>
      </c>
      <c r="V153" s="232" t="s">
        <v>1040</v>
      </c>
      <c r="W153" s="232" t="s">
        <v>46</v>
      </c>
      <c r="X153" s="232">
        <f t="shared" si="2"/>
        <v>20</v>
      </c>
    </row>
    <row r="154" spans="1:24" ht="203.25" customHeight="1" x14ac:dyDescent="0.3">
      <c r="A154" s="232" t="s">
        <v>489</v>
      </c>
      <c r="B154" s="232" t="s">
        <v>1067</v>
      </c>
      <c r="C154" s="232">
        <v>0</v>
      </c>
      <c r="D154" s="232">
        <v>0</v>
      </c>
      <c r="E154" s="232">
        <v>0</v>
      </c>
      <c r="F154" s="232">
        <v>1</v>
      </c>
      <c r="G154" s="232">
        <v>0</v>
      </c>
      <c r="H154" s="232">
        <v>0</v>
      </c>
      <c r="I154" s="232">
        <v>0</v>
      </c>
      <c r="J154" s="232">
        <v>0</v>
      </c>
      <c r="K154" s="232"/>
      <c r="L154" s="232" t="s">
        <v>165</v>
      </c>
      <c r="M154" s="232" t="s">
        <v>1040</v>
      </c>
      <c r="N154" s="232" t="s">
        <v>1321</v>
      </c>
      <c r="O154" s="232" t="s">
        <v>1032</v>
      </c>
      <c r="P154" s="232" t="s">
        <v>1171</v>
      </c>
      <c r="Q154" s="232" t="s">
        <v>495</v>
      </c>
      <c r="R154" s="232" t="s">
        <v>1615</v>
      </c>
      <c r="S154" s="232" t="s">
        <v>1398</v>
      </c>
      <c r="T154" s="232" t="s">
        <v>1399</v>
      </c>
      <c r="U154" s="232" t="s">
        <v>40</v>
      </c>
      <c r="V154" s="232" t="s">
        <v>1040</v>
      </c>
      <c r="W154" s="232" t="s">
        <v>46</v>
      </c>
      <c r="X154" s="232">
        <f t="shared" si="2"/>
        <v>20</v>
      </c>
    </row>
    <row r="155" spans="1:24" ht="168" x14ac:dyDescent="0.3">
      <c r="A155" s="232" t="s">
        <v>492</v>
      </c>
      <c r="B155" s="232" t="s">
        <v>1068</v>
      </c>
      <c r="C155" s="232">
        <v>0</v>
      </c>
      <c r="D155" s="232">
        <v>0</v>
      </c>
      <c r="E155" s="232">
        <v>0</v>
      </c>
      <c r="F155" s="232">
        <v>1</v>
      </c>
      <c r="G155" s="232">
        <v>0</v>
      </c>
      <c r="H155" s="232">
        <v>0</v>
      </c>
      <c r="I155" s="232">
        <v>0</v>
      </c>
      <c r="J155" s="232">
        <v>0</v>
      </c>
      <c r="K155" s="232"/>
      <c r="L155" s="232" t="s">
        <v>165</v>
      </c>
      <c r="M155" s="232" t="s">
        <v>1040</v>
      </c>
      <c r="N155" s="232" t="s">
        <v>1321</v>
      </c>
      <c r="O155" s="232" t="s">
        <v>1032</v>
      </c>
      <c r="P155" s="232" t="s">
        <v>514</v>
      </c>
      <c r="Q155" s="232" t="s">
        <v>515</v>
      </c>
      <c r="R155" s="232"/>
      <c r="S155" s="232" t="s">
        <v>516</v>
      </c>
      <c r="T155" s="232" t="s">
        <v>1400</v>
      </c>
      <c r="U155" s="232" t="s">
        <v>40</v>
      </c>
      <c r="V155" s="232" t="s">
        <v>1040</v>
      </c>
      <c r="W155" s="232" t="s">
        <v>46</v>
      </c>
      <c r="X155" s="232">
        <f t="shared" si="2"/>
        <v>20</v>
      </c>
    </row>
    <row r="156" spans="1:24" ht="165.75" customHeight="1" x14ac:dyDescent="0.3">
      <c r="A156" s="232" t="s">
        <v>494</v>
      </c>
      <c r="B156" s="232" t="s">
        <v>1172</v>
      </c>
      <c r="C156" s="232">
        <v>0</v>
      </c>
      <c r="D156" s="232">
        <v>0</v>
      </c>
      <c r="E156" s="232">
        <v>0</v>
      </c>
      <c r="F156" s="232">
        <v>1</v>
      </c>
      <c r="G156" s="232">
        <v>0</v>
      </c>
      <c r="H156" s="232">
        <v>0</v>
      </c>
      <c r="I156" s="232">
        <v>0</v>
      </c>
      <c r="J156" s="232">
        <v>1</v>
      </c>
      <c r="K156" s="232"/>
      <c r="L156" s="232" t="s">
        <v>165</v>
      </c>
      <c r="M156" s="232" t="s">
        <v>1040</v>
      </c>
      <c r="N156" s="232" t="s">
        <v>1321</v>
      </c>
      <c r="O156" s="232" t="s">
        <v>1032</v>
      </c>
      <c r="P156" s="232" t="s">
        <v>480</v>
      </c>
      <c r="Q156" s="232" t="s">
        <v>481</v>
      </c>
      <c r="R156" s="232"/>
      <c r="S156" s="232" t="s">
        <v>482</v>
      </c>
      <c r="T156" s="232" t="s">
        <v>483</v>
      </c>
      <c r="U156" s="232" t="s">
        <v>40</v>
      </c>
      <c r="V156" s="232" t="s">
        <v>1040</v>
      </c>
      <c r="W156" s="232" t="s">
        <v>75</v>
      </c>
      <c r="X156" s="232">
        <f t="shared" si="2"/>
        <v>10</v>
      </c>
    </row>
    <row r="157" spans="1:24" ht="216" customHeight="1" x14ac:dyDescent="0.3">
      <c r="A157" s="232" t="s">
        <v>496</v>
      </c>
      <c r="B157" s="232" t="s">
        <v>1173</v>
      </c>
      <c r="C157" s="232">
        <v>0</v>
      </c>
      <c r="D157" s="232">
        <v>0</v>
      </c>
      <c r="E157" s="232">
        <v>0</v>
      </c>
      <c r="F157" s="232">
        <v>1</v>
      </c>
      <c r="G157" s="232">
        <v>0</v>
      </c>
      <c r="H157" s="232">
        <v>0</v>
      </c>
      <c r="I157" s="232">
        <v>0</v>
      </c>
      <c r="J157" s="232">
        <v>1</v>
      </c>
      <c r="K157" s="232"/>
      <c r="L157" s="232" t="s">
        <v>165</v>
      </c>
      <c r="M157" s="232" t="s">
        <v>1040</v>
      </c>
      <c r="N157" s="232" t="s">
        <v>1321</v>
      </c>
      <c r="O157" s="232" t="s">
        <v>1032</v>
      </c>
      <c r="P157" s="232" t="s">
        <v>1174</v>
      </c>
      <c r="Q157" s="232" t="s">
        <v>493</v>
      </c>
      <c r="R157" s="232"/>
      <c r="S157" s="232" t="s">
        <v>1401</v>
      </c>
      <c r="T157" s="232" t="s">
        <v>1175</v>
      </c>
      <c r="U157" s="232" t="s">
        <v>40</v>
      </c>
      <c r="V157" s="232" t="s">
        <v>1040</v>
      </c>
      <c r="W157" s="232" t="s">
        <v>75</v>
      </c>
      <c r="X157" s="232">
        <f t="shared" si="2"/>
        <v>10</v>
      </c>
    </row>
    <row r="158" spans="1:24" ht="210.75" customHeight="1" x14ac:dyDescent="0.3">
      <c r="A158" s="232" t="s">
        <v>499</v>
      </c>
      <c r="B158" s="232" t="s">
        <v>497</v>
      </c>
      <c r="C158" s="232">
        <v>0</v>
      </c>
      <c r="D158" s="232">
        <v>0</v>
      </c>
      <c r="E158" s="232">
        <v>0</v>
      </c>
      <c r="F158" s="232">
        <v>1</v>
      </c>
      <c r="G158" s="232">
        <v>0</v>
      </c>
      <c r="H158" s="232">
        <v>0</v>
      </c>
      <c r="I158" s="232">
        <v>0</v>
      </c>
      <c r="J158" s="232">
        <v>0</v>
      </c>
      <c r="K158" s="232"/>
      <c r="L158" s="232" t="s">
        <v>165</v>
      </c>
      <c r="M158" s="232" t="s">
        <v>1040</v>
      </c>
      <c r="N158" s="232" t="s">
        <v>1321</v>
      </c>
      <c r="O158" s="232" t="s">
        <v>1032</v>
      </c>
      <c r="P158" s="232" t="s">
        <v>1176</v>
      </c>
      <c r="Q158" s="232" t="s">
        <v>498</v>
      </c>
      <c r="R158" s="232" t="s">
        <v>1615</v>
      </c>
      <c r="S158" s="232" t="s">
        <v>1401</v>
      </c>
      <c r="T158" s="232" t="s">
        <v>1402</v>
      </c>
      <c r="U158" s="232" t="s">
        <v>40</v>
      </c>
      <c r="V158" s="232" t="s">
        <v>1040</v>
      </c>
      <c r="W158" s="232" t="s">
        <v>75</v>
      </c>
      <c r="X158" s="232">
        <f t="shared" si="2"/>
        <v>10</v>
      </c>
    </row>
    <row r="159" spans="1:24" ht="175.5" customHeight="1" x14ac:dyDescent="0.3">
      <c r="A159" s="232" t="s">
        <v>504</v>
      </c>
      <c r="B159" s="232" t="s">
        <v>500</v>
      </c>
      <c r="C159" s="232">
        <v>0</v>
      </c>
      <c r="D159" s="232">
        <v>0</v>
      </c>
      <c r="E159" s="232">
        <v>0</v>
      </c>
      <c r="F159" s="232">
        <v>1</v>
      </c>
      <c r="G159" s="232">
        <v>0</v>
      </c>
      <c r="H159" s="232">
        <v>0</v>
      </c>
      <c r="I159" s="232">
        <v>0</v>
      </c>
      <c r="J159" s="232">
        <v>0</v>
      </c>
      <c r="K159" s="232"/>
      <c r="L159" s="232" t="s">
        <v>165</v>
      </c>
      <c r="M159" s="232" t="s">
        <v>1040</v>
      </c>
      <c r="N159" s="232" t="s">
        <v>1321</v>
      </c>
      <c r="O159" s="232" t="s">
        <v>1032</v>
      </c>
      <c r="P159" s="232" t="s">
        <v>501</v>
      </c>
      <c r="Q159" s="232" t="s">
        <v>502</v>
      </c>
      <c r="R159" s="232"/>
      <c r="S159" s="232" t="s">
        <v>1403</v>
      </c>
      <c r="T159" s="232" t="s">
        <v>503</v>
      </c>
      <c r="U159" s="232" t="s">
        <v>40</v>
      </c>
      <c r="V159" s="232" t="s">
        <v>1040</v>
      </c>
      <c r="W159" s="232" t="s">
        <v>75</v>
      </c>
      <c r="X159" s="232">
        <f t="shared" si="2"/>
        <v>10</v>
      </c>
    </row>
    <row r="160" spans="1:24" ht="192.75" customHeight="1" x14ac:dyDescent="0.3">
      <c r="A160" s="232" t="s">
        <v>509</v>
      </c>
      <c r="B160" s="232" t="s">
        <v>510</v>
      </c>
      <c r="C160" s="232">
        <v>0</v>
      </c>
      <c r="D160" s="232">
        <v>0</v>
      </c>
      <c r="E160" s="232">
        <v>0</v>
      </c>
      <c r="F160" s="232">
        <v>1</v>
      </c>
      <c r="G160" s="232">
        <v>0</v>
      </c>
      <c r="H160" s="232">
        <v>0</v>
      </c>
      <c r="I160" s="232">
        <v>0</v>
      </c>
      <c r="J160" s="232">
        <v>0</v>
      </c>
      <c r="K160" s="232"/>
      <c r="L160" s="232" t="s">
        <v>1062</v>
      </c>
      <c r="M160" s="232" t="s">
        <v>1040</v>
      </c>
      <c r="N160" s="232" t="s">
        <v>1321</v>
      </c>
      <c r="O160" s="232" t="s">
        <v>511</v>
      </c>
      <c r="P160" s="232" t="s">
        <v>1032</v>
      </c>
      <c r="Q160" s="232" t="s">
        <v>1032</v>
      </c>
      <c r="R160" s="232"/>
      <c r="S160" s="232" t="s">
        <v>1404</v>
      </c>
      <c r="T160" s="232" t="s">
        <v>512</v>
      </c>
      <c r="U160" s="232" t="s">
        <v>1062</v>
      </c>
      <c r="V160" s="232" t="s">
        <v>1040</v>
      </c>
      <c r="W160" s="232" t="s">
        <v>75</v>
      </c>
      <c r="X160" s="232">
        <f t="shared" si="2"/>
        <v>10</v>
      </c>
    </row>
    <row r="161" spans="1:24" ht="168" x14ac:dyDescent="0.3">
      <c r="A161" s="232" t="s">
        <v>513</v>
      </c>
      <c r="B161" s="232" t="s">
        <v>505</v>
      </c>
      <c r="C161" s="232">
        <v>0</v>
      </c>
      <c r="D161" s="232">
        <v>0</v>
      </c>
      <c r="E161" s="232">
        <v>0</v>
      </c>
      <c r="F161" s="232">
        <v>1</v>
      </c>
      <c r="G161" s="232">
        <v>0</v>
      </c>
      <c r="H161" s="232">
        <v>0</v>
      </c>
      <c r="I161" s="232">
        <v>0</v>
      </c>
      <c r="J161" s="232">
        <v>1</v>
      </c>
      <c r="K161" s="232"/>
      <c r="L161" s="232" t="s">
        <v>165</v>
      </c>
      <c r="M161" s="232" t="s">
        <v>1040</v>
      </c>
      <c r="N161" s="232" t="s">
        <v>1321</v>
      </c>
      <c r="O161" s="232" t="s">
        <v>1032</v>
      </c>
      <c r="P161" s="232" t="s">
        <v>506</v>
      </c>
      <c r="Q161" s="232" t="s">
        <v>507</v>
      </c>
      <c r="R161" s="232"/>
      <c r="S161" s="232" t="s">
        <v>1405</v>
      </c>
      <c r="T161" s="232" t="s">
        <v>508</v>
      </c>
      <c r="U161" s="232" t="s">
        <v>40</v>
      </c>
      <c r="V161" s="232" t="s">
        <v>1040</v>
      </c>
      <c r="W161" s="232" t="s">
        <v>41</v>
      </c>
      <c r="X161" s="232">
        <f t="shared" si="2"/>
        <v>5</v>
      </c>
    </row>
    <row r="162" spans="1:24" ht="168" x14ac:dyDescent="0.3">
      <c r="A162" s="232" t="s">
        <v>517</v>
      </c>
      <c r="B162" s="232" t="s">
        <v>1069</v>
      </c>
      <c r="C162" s="232">
        <v>0</v>
      </c>
      <c r="D162" s="232">
        <v>1</v>
      </c>
      <c r="E162" s="232">
        <v>0</v>
      </c>
      <c r="F162" s="232">
        <v>0</v>
      </c>
      <c r="G162" s="232">
        <v>0</v>
      </c>
      <c r="H162" s="232">
        <v>0</v>
      </c>
      <c r="I162" s="232">
        <v>0</v>
      </c>
      <c r="J162" s="232">
        <v>0</v>
      </c>
      <c r="K162" s="232"/>
      <c r="L162" s="232" t="s">
        <v>131</v>
      </c>
      <c r="M162" s="232" t="s">
        <v>1040</v>
      </c>
      <c r="N162" s="232" t="s">
        <v>1032</v>
      </c>
      <c r="O162" s="232" t="s">
        <v>1032</v>
      </c>
      <c r="P162" s="232" t="s">
        <v>1032</v>
      </c>
      <c r="Q162" s="232" t="s">
        <v>1032</v>
      </c>
      <c r="R162" s="232"/>
      <c r="S162" s="232" t="s">
        <v>1406</v>
      </c>
      <c r="T162" s="232" t="s">
        <v>1407</v>
      </c>
      <c r="U162" s="232" t="s">
        <v>40</v>
      </c>
      <c r="V162" s="232" t="s">
        <v>1040</v>
      </c>
      <c r="W162" s="232" t="s">
        <v>46</v>
      </c>
      <c r="X162" s="232">
        <f t="shared" si="2"/>
        <v>20</v>
      </c>
    </row>
    <row r="163" spans="1:24" ht="112" x14ac:dyDescent="0.3">
      <c r="A163" s="232" t="s">
        <v>518</v>
      </c>
      <c r="B163" s="232" t="s">
        <v>1070</v>
      </c>
      <c r="C163" s="232">
        <v>0</v>
      </c>
      <c r="D163" s="232">
        <v>1</v>
      </c>
      <c r="E163" s="232">
        <v>0</v>
      </c>
      <c r="F163" s="232">
        <v>0</v>
      </c>
      <c r="G163" s="232">
        <v>0</v>
      </c>
      <c r="H163" s="232">
        <v>0</v>
      </c>
      <c r="I163" s="232">
        <v>0</v>
      </c>
      <c r="J163" s="232">
        <v>0</v>
      </c>
      <c r="K163" s="232"/>
      <c r="L163" s="232" t="s">
        <v>131</v>
      </c>
      <c r="M163" s="232" t="s">
        <v>1040</v>
      </c>
      <c r="N163" s="232" t="s">
        <v>1032</v>
      </c>
      <c r="O163" s="232" t="s">
        <v>1032</v>
      </c>
      <c r="P163" s="232" t="s">
        <v>533</v>
      </c>
      <c r="Q163" s="232" t="s">
        <v>534</v>
      </c>
      <c r="R163" s="232"/>
      <c r="S163" s="232" t="s">
        <v>1408</v>
      </c>
      <c r="T163" s="232" t="s">
        <v>1409</v>
      </c>
      <c r="U163" s="232" t="s">
        <v>40</v>
      </c>
      <c r="V163" s="232" t="s">
        <v>1040</v>
      </c>
      <c r="W163" s="232" t="s">
        <v>46</v>
      </c>
      <c r="X163" s="232">
        <f t="shared" si="2"/>
        <v>20</v>
      </c>
    </row>
    <row r="164" spans="1:24" ht="112" x14ac:dyDescent="0.3">
      <c r="A164" s="232" t="s">
        <v>520</v>
      </c>
      <c r="B164" s="232" t="s">
        <v>1086</v>
      </c>
      <c r="C164" s="232">
        <v>0</v>
      </c>
      <c r="D164" s="232">
        <v>1</v>
      </c>
      <c r="E164" s="232">
        <v>0</v>
      </c>
      <c r="F164" s="232">
        <v>0</v>
      </c>
      <c r="G164" s="232">
        <v>0</v>
      </c>
      <c r="H164" s="232">
        <v>0</v>
      </c>
      <c r="I164" s="232">
        <v>0</v>
      </c>
      <c r="J164" s="232">
        <v>0</v>
      </c>
      <c r="K164" s="232"/>
      <c r="L164" s="232" t="s">
        <v>131</v>
      </c>
      <c r="M164" s="232" t="s">
        <v>1040</v>
      </c>
      <c r="N164" s="232" t="s">
        <v>1032</v>
      </c>
      <c r="O164" s="232" t="s">
        <v>536</v>
      </c>
      <c r="P164" s="232" t="s">
        <v>1032</v>
      </c>
      <c r="Q164" s="232" t="s">
        <v>1032</v>
      </c>
      <c r="R164" s="232"/>
      <c r="S164" s="232" t="s">
        <v>1410</v>
      </c>
      <c r="T164" s="232" t="s">
        <v>1411</v>
      </c>
      <c r="U164" s="232" t="s">
        <v>40</v>
      </c>
      <c r="V164" s="232" t="s">
        <v>1040</v>
      </c>
      <c r="W164" s="232" t="s">
        <v>46</v>
      </c>
      <c r="X164" s="232">
        <f t="shared" si="2"/>
        <v>20</v>
      </c>
    </row>
    <row r="165" spans="1:24" ht="168" x14ac:dyDescent="0.3">
      <c r="A165" s="232" t="s">
        <v>524</v>
      </c>
      <c r="B165" s="232" t="s">
        <v>519</v>
      </c>
      <c r="C165" s="232">
        <v>0</v>
      </c>
      <c r="D165" s="232">
        <v>1</v>
      </c>
      <c r="E165" s="232">
        <v>0</v>
      </c>
      <c r="F165" s="232">
        <v>0</v>
      </c>
      <c r="G165" s="232">
        <v>0</v>
      </c>
      <c r="H165" s="232">
        <v>0</v>
      </c>
      <c r="I165" s="232">
        <v>0</v>
      </c>
      <c r="J165" s="232">
        <v>0</v>
      </c>
      <c r="K165" s="232"/>
      <c r="L165" s="232" t="s">
        <v>131</v>
      </c>
      <c r="M165" s="232" t="s">
        <v>1040</v>
      </c>
      <c r="N165" s="232" t="s">
        <v>1032</v>
      </c>
      <c r="O165" s="232" t="s">
        <v>1032</v>
      </c>
      <c r="P165" s="232" t="s">
        <v>1032</v>
      </c>
      <c r="Q165" s="232" t="s">
        <v>1032</v>
      </c>
      <c r="R165" s="232"/>
      <c r="S165" s="232" t="s">
        <v>1372</v>
      </c>
      <c r="T165" s="232" t="s">
        <v>1373</v>
      </c>
      <c r="U165" s="232" t="s">
        <v>40</v>
      </c>
      <c r="V165" s="232" t="s">
        <v>1040</v>
      </c>
      <c r="W165" s="232" t="s">
        <v>75</v>
      </c>
      <c r="X165" s="232">
        <f t="shared" si="2"/>
        <v>10</v>
      </c>
    </row>
    <row r="166" spans="1:24" ht="196" x14ac:dyDescent="0.3">
      <c r="A166" s="232" t="s">
        <v>528</v>
      </c>
      <c r="B166" s="232" t="s">
        <v>525</v>
      </c>
      <c r="C166" s="232">
        <v>0</v>
      </c>
      <c r="D166" s="232">
        <v>1</v>
      </c>
      <c r="E166" s="232">
        <v>0</v>
      </c>
      <c r="F166" s="232">
        <v>0</v>
      </c>
      <c r="G166" s="232">
        <v>0</v>
      </c>
      <c r="H166" s="232">
        <v>0</v>
      </c>
      <c r="I166" s="232">
        <v>0</v>
      </c>
      <c r="J166" s="232">
        <v>1</v>
      </c>
      <c r="K166" s="232"/>
      <c r="L166" s="232" t="s">
        <v>131</v>
      </c>
      <c r="M166" s="232" t="s">
        <v>1040</v>
      </c>
      <c r="N166" s="232" t="s">
        <v>1032</v>
      </c>
      <c r="O166" s="232" t="s">
        <v>1032</v>
      </c>
      <c r="P166" s="232" t="s">
        <v>526</v>
      </c>
      <c r="Q166" s="232" t="s">
        <v>527</v>
      </c>
      <c r="R166" s="232"/>
      <c r="S166" s="232" t="s">
        <v>1412</v>
      </c>
      <c r="T166" s="232" t="s">
        <v>1413</v>
      </c>
      <c r="U166" s="232" t="s">
        <v>40</v>
      </c>
      <c r="V166" s="232" t="s">
        <v>1040</v>
      </c>
      <c r="W166" s="232" t="s">
        <v>75</v>
      </c>
      <c r="X166" s="232">
        <f t="shared" si="2"/>
        <v>10</v>
      </c>
    </row>
    <row r="167" spans="1:24" ht="196.5" customHeight="1" x14ac:dyDescent="0.3">
      <c r="A167" s="232" t="s">
        <v>532</v>
      </c>
      <c r="B167" s="232" t="s">
        <v>538</v>
      </c>
      <c r="C167" s="232">
        <v>0</v>
      </c>
      <c r="D167" s="232">
        <v>1</v>
      </c>
      <c r="E167" s="232">
        <v>0</v>
      </c>
      <c r="F167" s="232">
        <v>0</v>
      </c>
      <c r="G167" s="232">
        <v>0</v>
      </c>
      <c r="H167" s="232">
        <v>0</v>
      </c>
      <c r="I167" s="232">
        <v>0</v>
      </c>
      <c r="J167" s="232">
        <v>0</v>
      </c>
      <c r="K167" s="232"/>
      <c r="L167" s="232" t="s">
        <v>131</v>
      </c>
      <c r="M167" s="232" t="s">
        <v>1040</v>
      </c>
      <c r="N167" s="232" t="s">
        <v>1032</v>
      </c>
      <c r="O167" s="232" t="s">
        <v>1032</v>
      </c>
      <c r="P167" s="232" t="s">
        <v>539</v>
      </c>
      <c r="Q167" s="232" t="s">
        <v>540</v>
      </c>
      <c r="R167" s="232"/>
      <c r="S167" s="232" t="s">
        <v>1414</v>
      </c>
      <c r="T167" s="232" t="s">
        <v>1415</v>
      </c>
      <c r="U167" s="232" t="s">
        <v>40</v>
      </c>
      <c r="V167" s="232" t="s">
        <v>1040</v>
      </c>
      <c r="W167" s="232" t="s">
        <v>75</v>
      </c>
      <c r="X167" s="232">
        <f t="shared" si="2"/>
        <v>10</v>
      </c>
    </row>
    <row r="168" spans="1:24" ht="154" x14ac:dyDescent="0.3">
      <c r="A168" s="232" t="s">
        <v>535</v>
      </c>
      <c r="B168" s="232" t="s">
        <v>542</v>
      </c>
      <c r="C168" s="232">
        <v>0</v>
      </c>
      <c r="D168" s="232">
        <v>1</v>
      </c>
      <c r="E168" s="232">
        <v>0</v>
      </c>
      <c r="F168" s="232">
        <v>0</v>
      </c>
      <c r="G168" s="232">
        <v>0</v>
      </c>
      <c r="H168" s="232">
        <v>0</v>
      </c>
      <c r="I168" s="232">
        <v>0</v>
      </c>
      <c r="J168" s="232">
        <v>0</v>
      </c>
      <c r="K168" s="232"/>
      <c r="L168" s="232" t="s">
        <v>131</v>
      </c>
      <c r="M168" s="232" t="s">
        <v>1040</v>
      </c>
      <c r="N168" s="232" t="s">
        <v>1032</v>
      </c>
      <c r="O168" s="232" t="s">
        <v>1032</v>
      </c>
      <c r="P168" s="232" t="s">
        <v>543</v>
      </c>
      <c r="Q168" s="232" t="s">
        <v>544</v>
      </c>
      <c r="R168" s="232"/>
      <c r="S168" s="232" t="s">
        <v>545</v>
      </c>
      <c r="T168" s="232" t="s">
        <v>1416</v>
      </c>
      <c r="U168" s="232" t="s">
        <v>40</v>
      </c>
      <c r="V168" s="232" t="s">
        <v>1040</v>
      </c>
      <c r="W168" s="232" t="s">
        <v>75</v>
      </c>
      <c r="X168" s="232">
        <f t="shared" si="2"/>
        <v>10</v>
      </c>
    </row>
    <row r="169" spans="1:24" ht="409.5" x14ac:dyDescent="0.3">
      <c r="A169" s="232" t="s">
        <v>537</v>
      </c>
      <c r="B169" s="232" t="s">
        <v>547</v>
      </c>
      <c r="C169" s="232">
        <v>0</v>
      </c>
      <c r="D169" s="232">
        <v>1</v>
      </c>
      <c r="E169" s="232">
        <v>0</v>
      </c>
      <c r="F169" s="232">
        <v>0</v>
      </c>
      <c r="G169" s="232">
        <v>0</v>
      </c>
      <c r="H169" s="232">
        <v>0</v>
      </c>
      <c r="I169" s="232">
        <v>0</v>
      </c>
      <c r="J169" s="232">
        <v>1</v>
      </c>
      <c r="K169" s="232"/>
      <c r="L169" s="232" t="s">
        <v>131</v>
      </c>
      <c r="M169" s="232" t="s">
        <v>1040</v>
      </c>
      <c r="N169" s="232" t="s">
        <v>1032</v>
      </c>
      <c r="O169" s="232" t="s">
        <v>1032</v>
      </c>
      <c r="P169" s="232" t="s">
        <v>548</v>
      </c>
      <c r="Q169" s="232" t="s">
        <v>549</v>
      </c>
      <c r="R169" s="232"/>
      <c r="S169" s="232" t="s">
        <v>1417</v>
      </c>
      <c r="T169" s="232" t="s">
        <v>1418</v>
      </c>
      <c r="U169" s="232" t="s">
        <v>40</v>
      </c>
      <c r="V169" s="232" t="s">
        <v>1040</v>
      </c>
      <c r="W169" s="232" t="s">
        <v>75</v>
      </c>
      <c r="X169" s="232">
        <f t="shared" si="2"/>
        <v>10</v>
      </c>
    </row>
    <row r="170" spans="1:24" ht="182" x14ac:dyDescent="0.3">
      <c r="A170" s="232" t="s">
        <v>541</v>
      </c>
      <c r="B170" s="232" t="s">
        <v>521</v>
      </c>
      <c r="C170" s="232">
        <v>0</v>
      </c>
      <c r="D170" s="232">
        <v>1</v>
      </c>
      <c r="E170" s="232">
        <v>0</v>
      </c>
      <c r="F170" s="232">
        <v>0</v>
      </c>
      <c r="G170" s="232">
        <v>0</v>
      </c>
      <c r="H170" s="232">
        <v>0</v>
      </c>
      <c r="I170" s="232">
        <v>0</v>
      </c>
      <c r="J170" s="232">
        <v>1</v>
      </c>
      <c r="K170" s="232"/>
      <c r="L170" s="232" t="s">
        <v>131</v>
      </c>
      <c r="M170" s="232" t="s">
        <v>1040</v>
      </c>
      <c r="N170" s="232" t="s">
        <v>1032</v>
      </c>
      <c r="O170" s="232" t="s">
        <v>1032</v>
      </c>
      <c r="P170" s="232" t="s">
        <v>522</v>
      </c>
      <c r="Q170" s="232" t="s">
        <v>523</v>
      </c>
      <c r="R170" s="232"/>
      <c r="S170" s="232" t="s">
        <v>1336</v>
      </c>
      <c r="T170" s="232" t="s">
        <v>1337</v>
      </c>
      <c r="U170" s="232" t="s">
        <v>40</v>
      </c>
      <c r="V170" s="232" t="s">
        <v>1040</v>
      </c>
      <c r="W170" s="232" t="s">
        <v>41</v>
      </c>
      <c r="X170" s="232">
        <f t="shared" si="2"/>
        <v>5</v>
      </c>
    </row>
    <row r="171" spans="1:24" ht="112" x14ac:dyDescent="0.3">
      <c r="A171" s="232" t="s">
        <v>546</v>
      </c>
      <c r="B171" s="232" t="s">
        <v>529</v>
      </c>
      <c r="C171" s="232">
        <v>0</v>
      </c>
      <c r="D171" s="232">
        <v>1</v>
      </c>
      <c r="E171" s="232">
        <v>0</v>
      </c>
      <c r="F171" s="232">
        <v>0</v>
      </c>
      <c r="G171" s="232">
        <v>0</v>
      </c>
      <c r="H171" s="232">
        <v>0</v>
      </c>
      <c r="I171" s="232">
        <v>0</v>
      </c>
      <c r="J171" s="232">
        <v>0</v>
      </c>
      <c r="K171" s="232"/>
      <c r="L171" s="232" t="s">
        <v>131</v>
      </c>
      <c r="M171" s="232" t="s">
        <v>1040</v>
      </c>
      <c r="N171" s="232" t="s">
        <v>1032</v>
      </c>
      <c r="O171" s="232" t="s">
        <v>1032</v>
      </c>
      <c r="P171" s="232" t="s">
        <v>530</v>
      </c>
      <c r="Q171" s="232" t="s">
        <v>531</v>
      </c>
      <c r="R171" s="232"/>
      <c r="S171" s="232" t="s">
        <v>1410</v>
      </c>
      <c r="T171" s="232" t="s">
        <v>1411</v>
      </c>
      <c r="U171" s="232" t="s">
        <v>40</v>
      </c>
      <c r="V171" s="232" t="s">
        <v>1040</v>
      </c>
      <c r="W171" s="232" t="s">
        <v>41</v>
      </c>
      <c r="X171" s="232">
        <f t="shared" si="2"/>
        <v>5</v>
      </c>
    </row>
    <row r="172" spans="1:24" ht="240" customHeight="1" x14ac:dyDescent="0.3">
      <c r="A172" s="232" t="s">
        <v>550</v>
      </c>
      <c r="B172" s="232" t="s">
        <v>551</v>
      </c>
      <c r="C172" s="232">
        <v>0</v>
      </c>
      <c r="D172" s="232">
        <v>1</v>
      </c>
      <c r="E172" s="232">
        <v>0</v>
      </c>
      <c r="F172" s="232">
        <v>0</v>
      </c>
      <c r="G172" s="232">
        <v>0</v>
      </c>
      <c r="H172" s="232">
        <v>0</v>
      </c>
      <c r="I172" s="232">
        <v>0</v>
      </c>
      <c r="J172" s="232">
        <v>1</v>
      </c>
      <c r="K172" s="232"/>
      <c r="L172" s="232" t="s">
        <v>131</v>
      </c>
      <c r="M172" s="232" t="s">
        <v>1040</v>
      </c>
      <c r="N172" s="232" t="s">
        <v>1032</v>
      </c>
      <c r="O172" s="232" t="s">
        <v>1032</v>
      </c>
      <c r="P172" s="232" t="s">
        <v>552</v>
      </c>
      <c r="Q172" s="232" t="s">
        <v>553</v>
      </c>
      <c r="R172" s="232"/>
      <c r="S172" s="232" t="s">
        <v>1473</v>
      </c>
      <c r="T172" s="232" t="s">
        <v>554</v>
      </c>
      <c r="U172" s="232" t="s">
        <v>40</v>
      </c>
      <c r="V172" s="232" t="s">
        <v>1040</v>
      </c>
      <c r="W172" s="232" t="s">
        <v>41</v>
      </c>
      <c r="X172" s="232">
        <f t="shared" si="2"/>
        <v>5</v>
      </c>
    </row>
    <row r="173" spans="1:24" ht="243" customHeight="1" x14ac:dyDescent="0.3">
      <c r="A173" s="232" t="s">
        <v>555</v>
      </c>
      <c r="B173" s="232" t="s">
        <v>556</v>
      </c>
      <c r="C173" s="232">
        <v>0</v>
      </c>
      <c r="D173" s="232">
        <v>1</v>
      </c>
      <c r="E173" s="232">
        <v>0</v>
      </c>
      <c r="F173" s="232">
        <v>0</v>
      </c>
      <c r="G173" s="232">
        <v>0</v>
      </c>
      <c r="H173" s="232">
        <v>0</v>
      </c>
      <c r="I173" s="232">
        <v>0</v>
      </c>
      <c r="J173" s="232">
        <v>1</v>
      </c>
      <c r="K173" s="232"/>
      <c r="L173" s="232" t="s">
        <v>131</v>
      </c>
      <c r="M173" s="232" t="s">
        <v>1040</v>
      </c>
      <c r="N173" s="232" t="s">
        <v>1032</v>
      </c>
      <c r="O173" s="232" t="s">
        <v>1032</v>
      </c>
      <c r="P173" s="232" t="s">
        <v>557</v>
      </c>
      <c r="Q173" s="232" t="s">
        <v>558</v>
      </c>
      <c r="R173" s="232"/>
      <c r="S173" s="232" t="s">
        <v>1473</v>
      </c>
      <c r="T173" s="232" t="s">
        <v>554</v>
      </c>
      <c r="U173" s="232" t="s">
        <v>40</v>
      </c>
      <c r="V173" s="232" t="s">
        <v>1040</v>
      </c>
      <c r="W173" s="232" t="s">
        <v>41</v>
      </c>
      <c r="X173" s="232">
        <f t="shared" si="2"/>
        <v>5</v>
      </c>
    </row>
    <row r="174" spans="1:24" ht="182" x14ac:dyDescent="0.3">
      <c r="A174" s="232" t="s">
        <v>559</v>
      </c>
      <c r="B174" s="232" t="s">
        <v>560</v>
      </c>
      <c r="C174" s="232">
        <v>0</v>
      </c>
      <c r="D174" s="232">
        <v>1</v>
      </c>
      <c r="E174" s="232">
        <v>0</v>
      </c>
      <c r="F174" s="232">
        <v>0</v>
      </c>
      <c r="G174" s="232">
        <v>0</v>
      </c>
      <c r="H174" s="232">
        <v>0</v>
      </c>
      <c r="I174" s="232">
        <v>0</v>
      </c>
      <c r="J174" s="232">
        <v>0</v>
      </c>
      <c r="K174" s="232"/>
      <c r="L174" s="232" t="s">
        <v>131</v>
      </c>
      <c r="M174" s="232" t="s">
        <v>1040</v>
      </c>
      <c r="N174" s="232" t="s">
        <v>1032</v>
      </c>
      <c r="O174" s="232" t="s">
        <v>1032</v>
      </c>
      <c r="P174" s="232" t="s">
        <v>561</v>
      </c>
      <c r="Q174" s="232" t="s">
        <v>562</v>
      </c>
      <c r="R174" s="232"/>
      <c r="S174" s="232" t="s">
        <v>1419</v>
      </c>
      <c r="T174" s="232" t="s">
        <v>1420</v>
      </c>
      <c r="U174" s="232" t="s">
        <v>40</v>
      </c>
      <c r="V174" s="232" t="s">
        <v>1040</v>
      </c>
      <c r="W174" s="232" t="s">
        <v>41</v>
      </c>
      <c r="X174" s="232">
        <f t="shared" si="2"/>
        <v>5</v>
      </c>
    </row>
    <row r="175" spans="1:24" ht="206.25" customHeight="1" x14ac:dyDescent="0.3">
      <c r="A175" s="232" t="s">
        <v>563</v>
      </c>
      <c r="B175" s="232" t="s">
        <v>564</v>
      </c>
      <c r="C175" s="232">
        <v>0</v>
      </c>
      <c r="D175" s="232">
        <v>1</v>
      </c>
      <c r="E175" s="232">
        <v>0</v>
      </c>
      <c r="F175" s="232">
        <v>0</v>
      </c>
      <c r="G175" s="232">
        <v>0</v>
      </c>
      <c r="H175" s="232">
        <v>0</v>
      </c>
      <c r="I175" s="232">
        <v>0</v>
      </c>
      <c r="J175" s="232">
        <v>1</v>
      </c>
      <c r="K175" s="232"/>
      <c r="L175" s="232" t="s">
        <v>131</v>
      </c>
      <c r="M175" s="232" t="s">
        <v>1040</v>
      </c>
      <c r="N175" s="232" t="s">
        <v>1032</v>
      </c>
      <c r="O175" s="232" t="s">
        <v>1032</v>
      </c>
      <c r="P175" s="232" t="s">
        <v>565</v>
      </c>
      <c r="Q175" s="232" t="s">
        <v>566</v>
      </c>
      <c r="R175" s="232"/>
      <c r="S175" s="232" t="s">
        <v>1474</v>
      </c>
      <c r="T175" s="232" t="s">
        <v>567</v>
      </c>
      <c r="U175" s="232" t="s">
        <v>40</v>
      </c>
      <c r="V175" s="232" t="s">
        <v>1040</v>
      </c>
      <c r="W175" s="232" t="s">
        <v>41</v>
      </c>
      <c r="X175" s="232">
        <f t="shared" si="2"/>
        <v>5</v>
      </c>
    </row>
    <row r="176" spans="1:24" ht="127.5" customHeight="1" x14ac:dyDescent="0.3">
      <c r="A176" s="232" t="s">
        <v>568</v>
      </c>
      <c r="B176" s="232" t="s">
        <v>569</v>
      </c>
      <c r="C176" s="232">
        <v>0</v>
      </c>
      <c r="D176" s="232">
        <v>1</v>
      </c>
      <c r="E176" s="232">
        <v>0</v>
      </c>
      <c r="F176" s="232">
        <v>0</v>
      </c>
      <c r="G176" s="232">
        <v>0</v>
      </c>
      <c r="H176" s="232">
        <v>0</v>
      </c>
      <c r="I176" s="232">
        <v>0</v>
      </c>
      <c r="J176" s="232">
        <v>1</v>
      </c>
      <c r="K176" s="232"/>
      <c r="L176" s="232" t="s">
        <v>131</v>
      </c>
      <c r="M176" s="232" t="s">
        <v>1040</v>
      </c>
      <c r="N176" s="232" t="s">
        <v>1032</v>
      </c>
      <c r="O176" s="232" t="s">
        <v>1032</v>
      </c>
      <c r="P176" s="232" t="s">
        <v>570</v>
      </c>
      <c r="Q176" s="232" t="s">
        <v>571</v>
      </c>
      <c r="R176" s="232" t="s">
        <v>1615</v>
      </c>
      <c r="S176" s="232" t="s">
        <v>1421</v>
      </c>
      <c r="T176" s="232" t="s">
        <v>572</v>
      </c>
      <c r="U176" s="232" t="s">
        <v>40</v>
      </c>
      <c r="V176" s="232" t="s">
        <v>1040</v>
      </c>
      <c r="W176" s="232" t="s">
        <v>41</v>
      </c>
      <c r="X176" s="232">
        <f t="shared" si="2"/>
        <v>5</v>
      </c>
    </row>
    <row r="177" spans="1:24" ht="266" x14ac:dyDescent="0.3">
      <c r="A177" s="232" t="s">
        <v>573</v>
      </c>
      <c r="B177" s="232" t="s">
        <v>574</v>
      </c>
      <c r="C177" s="232">
        <v>0</v>
      </c>
      <c r="D177" s="232">
        <v>0</v>
      </c>
      <c r="E177" s="232">
        <v>0</v>
      </c>
      <c r="F177" s="232">
        <v>1</v>
      </c>
      <c r="G177" s="232">
        <v>0</v>
      </c>
      <c r="H177" s="232">
        <v>0</v>
      </c>
      <c r="I177" s="232">
        <v>0</v>
      </c>
      <c r="J177" s="232">
        <v>1</v>
      </c>
      <c r="K177" s="232"/>
      <c r="L177" s="232" t="s">
        <v>165</v>
      </c>
      <c r="M177" s="232" t="s">
        <v>1040</v>
      </c>
      <c r="N177" s="232" t="s">
        <v>1321</v>
      </c>
      <c r="O177" s="232" t="s">
        <v>1032</v>
      </c>
      <c r="P177" s="232" t="s">
        <v>575</v>
      </c>
      <c r="Q177" s="232" t="s">
        <v>576</v>
      </c>
      <c r="R177" s="232"/>
      <c r="S177" s="232" t="s">
        <v>1422</v>
      </c>
      <c r="T177" s="232" t="s">
        <v>1423</v>
      </c>
      <c r="U177" s="232" t="s">
        <v>40</v>
      </c>
      <c r="V177" s="232" t="s">
        <v>1040</v>
      </c>
      <c r="W177" s="232" t="s">
        <v>75</v>
      </c>
      <c r="X177" s="232">
        <f t="shared" si="2"/>
        <v>10</v>
      </c>
    </row>
    <row r="178" spans="1:24" ht="221.25" customHeight="1" x14ac:dyDescent="0.3">
      <c r="A178" s="232" t="s">
        <v>577</v>
      </c>
      <c r="B178" s="232" t="s">
        <v>578</v>
      </c>
      <c r="C178" s="232">
        <v>0</v>
      </c>
      <c r="D178" s="232">
        <v>0</v>
      </c>
      <c r="E178" s="232">
        <v>0</v>
      </c>
      <c r="F178" s="232">
        <v>1</v>
      </c>
      <c r="G178" s="232">
        <v>0</v>
      </c>
      <c r="H178" s="232">
        <v>0</v>
      </c>
      <c r="I178" s="232">
        <v>0</v>
      </c>
      <c r="J178" s="232">
        <v>1</v>
      </c>
      <c r="K178" s="232"/>
      <c r="L178" s="232" t="s">
        <v>165</v>
      </c>
      <c r="M178" s="232" t="s">
        <v>1040</v>
      </c>
      <c r="N178" s="232" t="s">
        <v>1321</v>
      </c>
      <c r="O178" s="232" t="s">
        <v>1032</v>
      </c>
      <c r="P178" s="232" t="s">
        <v>579</v>
      </c>
      <c r="Q178" s="232" t="s">
        <v>580</v>
      </c>
      <c r="R178" s="232"/>
      <c r="S178" s="232" t="s">
        <v>1424</v>
      </c>
      <c r="T178" s="232" t="s">
        <v>1423</v>
      </c>
      <c r="U178" s="232" t="s">
        <v>40</v>
      </c>
      <c r="V178" s="232" t="s">
        <v>1040</v>
      </c>
      <c r="W178" s="232" t="s">
        <v>41</v>
      </c>
      <c r="X178" s="232">
        <f t="shared" si="2"/>
        <v>5</v>
      </c>
    </row>
    <row r="179" spans="1:24" ht="154" x14ac:dyDescent="0.3">
      <c r="A179" s="232" t="s">
        <v>581</v>
      </c>
      <c r="B179" s="232" t="s">
        <v>582</v>
      </c>
      <c r="C179" s="232">
        <v>0</v>
      </c>
      <c r="D179" s="232">
        <v>0</v>
      </c>
      <c r="E179" s="232">
        <v>0</v>
      </c>
      <c r="F179" s="232">
        <v>1</v>
      </c>
      <c r="G179" s="232">
        <v>0</v>
      </c>
      <c r="H179" s="232">
        <v>0</v>
      </c>
      <c r="I179" s="232">
        <v>0</v>
      </c>
      <c r="J179" s="232">
        <v>1</v>
      </c>
      <c r="K179" s="232"/>
      <c r="L179" s="232" t="s">
        <v>165</v>
      </c>
      <c r="M179" s="232" t="s">
        <v>1040</v>
      </c>
      <c r="N179" s="232" t="s">
        <v>1321</v>
      </c>
      <c r="O179" s="232" t="s">
        <v>1032</v>
      </c>
      <c r="P179" s="232" t="s">
        <v>583</v>
      </c>
      <c r="Q179" s="232" t="s">
        <v>584</v>
      </c>
      <c r="R179" s="232"/>
      <c r="S179" s="232" t="s">
        <v>1425</v>
      </c>
      <c r="T179" s="232" t="s">
        <v>1426</v>
      </c>
      <c r="U179" s="232" t="s">
        <v>40</v>
      </c>
      <c r="V179" s="232" t="s">
        <v>1040</v>
      </c>
      <c r="W179" s="232" t="s">
        <v>41</v>
      </c>
      <c r="X179" s="232">
        <f t="shared" si="2"/>
        <v>5</v>
      </c>
    </row>
    <row r="180" spans="1:24" ht="238" x14ac:dyDescent="0.3">
      <c r="A180" s="232" t="s">
        <v>585</v>
      </c>
      <c r="B180" s="232" t="s">
        <v>586</v>
      </c>
      <c r="C180" s="232">
        <v>0</v>
      </c>
      <c r="D180" s="232">
        <v>0</v>
      </c>
      <c r="E180" s="232">
        <v>0</v>
      </c>
      <c r="F180" s="232">
        <v>1</v>
      </c>
      <c r="G180" s="232">
        <v>0</v>
      </c>
      <c r="H180" s="232">
        <v>0</v>
      </c>
      <c r="I180" s="232">
        <v>0</v>
      </c>
      <c r="J180" s="232">
        <v>1</v>
      </c>
      <c r="K180" s="232"/>
      <c r="L180" s="232" t="s">
        <v>165</v>
      </c>
      <c r="M180" s="232" t="s">
        <v>1032</v>
      </c>
      <c r="N180" s="232" t="s">
        <v>1321</v>
      </c>
      <c r="O180" s="232" t="s">
        <v>1032</v>
      </c>
      <c r="P180" s="232" t="s">
        <v>587</v>
      </c>
      <c r="Q180" s="232" t="s">
        <v>1253</v>
      </c>
      <c r="R180" s="232"/>
      <c r="S180" s="232" t="s">
        <v>1427</v>
      </c>
      <c r="T180" s="232" t="s">
        <v>1418</v>
      </c>
      <c r="U180" s="232" t="s">
        <v>40</v>
      </c>
      <c r="V180" s="232" t="s">
        <v>1032</v>
      </c>
      <c r="W180" s="232" t="s">
        <v>41</v>
      </c>
      <c r="X180" s="232">
        <f t="shared" si="2"/>
        <v>5</v>
      </c>
    </row>
    <row r="181" spans="1:24" ht="224.25" customHeight="1" x14ac:dyDescent="0.3">
      <c r="A181" s="232" t="s">
        <v>588</v>
      </c>
      <c r="B181" s="232" t="s">
        <v>1071</v>
      </c>
      <c r="C181" s="232">
        <v>0</v>
      </c>
      <c r="D181" s="232">
        <v>0</v>
      </c>
      <c r="E181" s="232">
        <v>0</v>
      </c>
      <c r="F181" s="232">
        <v>1</v>
      </c>
      <c r="G181" s="232">
        <v>0</v>
      </c>
      <c r="H181" s="232">
        <v>0</v>
      </c>
      <c r="I181" s="232">
        <v>0</v>
      </c>
      <c r="J181" s="232">
        <v>0</v>
      </c>
      <c r="K181" s="232"/>
      <c r="L181" s="232" t="s">
        <v>165</v>
      </c>
      <c r="M181" s="232" t="s">
        <v>1040</v>
      </c>
      <c r="N181" s="232" t="s">
        <v>1321</v>
      </c>
      <c r="O181" s="232" t="s">
        <v>1032</v>
      </c>
      <c r="P181" s="232" t="s">
        <v>597</v>
      </c>
      <c r="Q181" s="232" t="s">
        <v>598</v>
      </c>
      <c r="R181" s="232"/>
      <c r="S181" s="232" t="s">
        <v>1428</v>
      </c>
      <c r="T181" s="232" t="s">
        <v>1429</v>
      </c>
      <c r="U181" s="232" t="s">
        <v>40</v>
      </c>
      <c r="V181" s="232" t="s">
        <v>1040</v>
      </c>
      <c r="W181" s="232" t="s">
        <v>46</v>
      </c>
      <c r="X181" s="232">
        <f t="shared" si="2"/>
        <v>20</v>
      </c>
    </row>
    <row r="182" spans="1:24" ht="126" x14ac:dyDescent="0.3">
      <c r="A182" s="232" t="s">
        <v>592</v>
      </c>
      <c r="B182" s="232" t="s">
        <v>1072</v>
      </c>
      <c r="C182" s="232">
        <v>0</v>
      </c>
      <c r="D182" s="232">
        <v>0</v>
      </c>
      <c r="E182" s="232">
        <v>0</v>
      </c>
      <c r="F182" s="232">
        <v>1</v>
      </c>
      <c r="G182" s="232">
        <v>0</v>
      </c>
      <c r="H182" s="232">
        <v>0</v>
      </c>
      <c r="I182" s="232">
        <v>0</v>
      </c>
      <c r="J182" s="232">
        <v>1</v>
      </c>
      <c r="K182" s="232"/>
      <c r="L182" s="232" t="s">
        <v>165</v>
      </c>
      <c r="M182" s="232" t="s">
        <v>1040</v>
      </c>
      <c r="N182" s="232" t="s">
        <v>1321</v>
      </c>
      <c r="O182" s="232" t="s">
        <v>1032</v>
      </c>
      <c r="P182" s="232" t="s">
        <v>600</v>
      </c>
      <c r="Q182" s="232" t="s">
        <v>601</v>
      </c>
      <c r="R182" s="232"/>
      <c r="S182" s="232" t="s">
        <v>1430</v>
      </c>
      <c r="T182" s="232" t="s">
        <v>1431</v>
      </c>
      <c r="U182" s="232" t="s">
        <v>40</v>
      </c>
      <c r="V182" s="232" t="s">
        <v>1040</v>
      </c>
      <c r="W182" s="232" t="s">
        <v>46</v>
      </c>
      <c r="X182" s="232">
        <f t="shared" si="2"/>
        <v>20</v>
      </c>
    </row>
    <row r="183" spans="1:24" ht="168" x14ac:dyDescent="0.3">
      <c r="A183" s="232" t="s">
        <v>596</v>
      </c>
      <c r="B183" s="232" t="s">
        <v>1073</v>
      </c>
      <c r="C183" s="232">
        <v>0</v>
      </c>
      <c r="D183" s="232">
        <v>0</v>
      </c>
      <c r="E183" s="232">
        <v>0</v>
      </c>
      <c r="F183" s="232">
        <v>1</v>
      </c>
      <c r="G183" s="232">
        <v>0</v>
      </c>
      <c r="H183" s="232">
        <v>0</v>
      </c>
      <c r="I183" s="232">
        <v>0</v>
      </c>
      <c r="J183" s="232">
        <v>1</v>
      </c>
      <c r="K183" s="232"/>
      <c r="L183" s="232" t="s">
        <v>165</v>
      </c>
      <c r="M183" s="232" t="s">
        <v>1040</v>
      </c>
      <c r="N183" s="232" t="s">
        <v>1321</v>
      </c>
      <c r="O183" s="232" t="s">
        <v>1032</v>
      </c>
      <c r="P183" s="232" t="s">
        <v>605</v>
      </c>
      <c r="Q183" s="232" t="s">
        <v>1177</v>
      </c>
      <c r="R183" s="232"/>
      <c r="S183" s="232" t="s">
        <v>1432</v>
      </c>
      <c r="T183" s="232" t="s">
        <v>606</v>
      </c>
      <c r="U183" s="232" t="s">
        <v>40</v>
      </c>
      <c r="V183" s="232" t="s">
        <v>1040</v>
      </c>
      <c r="W183" s="232" t="s">
        <v>46</v>
      </c>
      <c r="X183" s="232">
        <f t="shared" si="2"/>
        <v>20</v>
      </c>
    </row>
    <row r="184" spans="1:24" ht="289.5" customHeight="1" x14ac:dyDescent="0.3">
      <c r="A184" s="232" t="s">
        <v>599</v>
      </c>
      <c r="B184" s="232" t="s">
        <v>593</v>
      </c>
      <c r="C184" s="232">
        <v>0</v>
      </c>
      <c r="D184" s="232">
        <v>0</v>
      </c>
      <c r="E184" s="232">
        <v>0</v>
      </c>
      <c r="F184" s="232">
        <v>1</v>
      </c>
      <c r="G184" s="232">
        <v>0</v>
      </c>
      <c r="H184" s="232">
        <v>0</v>
      </c>
      <c r="I184" s="232">
        <v>0</v>
      </c>
      <c r="J184" s="232">
        <v>1</v>
      </c>
      <c r="K184" s="232"/>
      <c r="L184" s="232" t="s">
        <v>165</v>
      </c>
      <c r="M184" s="232" t="s">
        <v>1040</v>
      </c>
      <c r="N184" s="232" t="s">
        <v>1321</v>
      </c>
      <c r="O184" s="232" t="s">
        <v>1032</v>
      </c>
      <c r="P184" s="232" t="s">
        <v>594</v>
      </c>
      <c r="Q184" s="232" t="s">
        <v>595</v>
      </c>
      <c r="R184" s="232"/>
      <c r="S184" s="232" t="s">
        <v>1433</v>
      </c>
      <c r="T184" s="232" t="s">
        <v>1178</v>
      </c>
      <c r="U184" s="232" t="s">
        <v>40</v>
      </c>
      <c r="V184" s="232" t="s">
        <v>1040</v>
      </c>
      <c r="W184" s="232" t="s">
        <v>75</v>
      </c>
      <c r="X184" s="232">
        <f t="shared" si="2"/>
        <v>10</v>
      </c>
    </row>
    <row r="185" spans="1:24" ht="296.25" customHeight="1" x14ac:dyDescent="0.3">
      <c r="A185" s="232" t="s">
        <v>602</v>
      </c>
      <c r="B185" s="232" t="s">
        <v>1508</v>
      </c>
      <c r="C185" s="232">
        <v>0</v>
      </c>
      <c r="D185" s="232">
        <v>0</v>
      </c>
      <c r="E185" s="232">
        <v>0</v>
      </c>
      <c r="F185" s="232">
        <v>1</v>
      </c>
      <c r="G185" s="232">
        <v>0</v>
      </c>
      <c r="H185" s="232">
        <v>0</v>
      </c>
      <c r="I185" s="232">
        <v>0</v>
      </c>
      <c r="J185" s="232">
        <v>0</v>
      </c>
      <c r="K185" s="232"/>
      <c r="L185" s="232" t="s">
        <v>165</v>
      </c>
      <c r="M185" s="232" t="s">
        <v>1040</v>
      </c>
      <c r="N185" s="232" t="s">
        <v>1321</v>
      </c>
      <c r="O185" s="232" t="s">
        <v>603</v>
      </c>
      <c r="P185" s="232" t="s">
        <v>1032</v>
      </c>
      <c r="Q185" s="232" t="s">
        <v>1032</v>
      </c>
      <c r="R185" s="232"/>
      <c r="S185" s="232" t="s">
        <v>1475</v>
      </c>
      <c r="T185" s="232" t="s">
        <v>1434</v>
      </c>
      <c r="U185" s="232" t="s">
        <v>40</v>
      </c>
      <c r="V185" s="232" t="s">
        <v>1040</v>
      </c>
      <c r="W185" s="232" t="s">
        <v>75</v>
      </c>
      <c r="X185" s="232">
        <f t="shared" si="2"/>
        <v>10</v>
      </c>
    </row>
    <row r="186" spans="1:24" ht="300" customHeight="1" x14ac:dyDescent="0.3">
      <c r="A186" s="232" t="s">
        <v>604</v>
      </c>
      <c r="B186" s="232" t="s">
        <v>589</v>
      </c>
      <c r="C186" s="232">
        <v>0</v>
      </c>
      <c r="D186" s="232">
        <v>0</v>
      </c>
      <c r="E186" s="232">
        <v>0</v>
      </c>
      <c r="F186" s="232">
        <v>1</v>
      </c>
      <c r="G186" s="232">
        <v>0</v>
      </c>
      <c r="H186" s="232">
        <v>0</v>
      </c>
      <c r="I186" s="232">
        <v>0</v>
      </c>
      <c r="J186" s="232">
        <v>1</v>
      </c>
      <c r="K186" s="232"/>
      <c r="L186" s="232" t="s">
        <v>165</v>
      </c>
      <c r="M186" s="232" t="s">
        <v>1040</v>
      </c>
      <c r="N186" s="232" t="s">
        <v>1321</v>
      </c>
      <c r="O186" s="232" t="s">
        <v>1032</v>
      </c>
      <c r="P186" s="232" t="s">
        <v>590</v>
      </c>
      <c r="Q186" s="232" t="s">
        <v>591</v>
      </c>
      <c r="R186" s="232"/>
      <c r="S186" s="232" t="s">
        <v>1435</v>
      </c>
      <c r="T186" s="232" t="s">
        <v>1179</v>
      </c>
      <c r="U186" s="232" t="s">
        <v>40</v>
      </c>
      <c r="V186" s="232" t="s">
        <v>1040</v>
      </c>
      <c r="W186" s="232" t="s">
        <v>41</v>
      </c>
      <c r="X186" s="232">
        <f t="shared" si="2"/>
        <v>5</v>
      </c>
    </row>
    <row r="187" spans="1:24" ht="77.150000000000006" customHeight="1" x14ac:dyDescent="0.3">
      <c r="A187" s="232" t="s">
        <v>607</v>
      </c>
      <c r="B187" s="232" t="s">
        <v>1522</v>
      </c>
      <c r="C187" s="232">
        <v>0</v>
      </c>
      <c r="D187" s="232">
        <v>0</v>
      </c>
      <c r="E187" s="232">
        <v>0</v>
      </c>
      <c r="F187" s="232">
        <v>0</v>
      </c>
      <c r="G187" s="232">
        <v>0</v>
      </c>
      <c r="H187" s="232">
        <v>1</v>
      </c>
      <c r="I187" s="232">
        <v>0</v>
      </c>
      <c r="J187" s="232">
        <v>1</v>
      </c>
      <c r="K187" s="232"/>
      <c r="L187" s="232" t="s">
        <v>608</v>
      </c>
      <c r="M187" s="232" t="s">
        <v>1040</v>
      </c>
      <c r="N187" s="232" t="s">
        <v>1436</v>
      </c>
      <c r="O187" s="232" t="s">
        <v>609</v>
      </c>
      <c r="P187" s="232" t="s">
        <v>1032</v>
      </c>
      <c r="Q187" s="232" t="s">
        <v>1032</v>
      </c>
      <c r="R187" s="232"/>
      <c r="S187" s="232" t="s">
        <v>610</v>
      </c>
      <c r="T187" s="232" t="s">
        <v>611</v>
      </c>
      <c r="U187" s="232" t="s">
        <v>40</v>
      </c>
      <c r="V187" s="232" t="s">
        <v>1040</v>
      </c>
      <c r="W187" s="232" t="s">
        <v>46</v>
      </c>
      <c r="X187" s="232">
        <f t="shared" si="2"/>
        <v>20</v>
      </c>
    </row>
    <row r="188" spans="1:24" ht="77.150000000000006" customHeight="1" x14ac:dyDescent="0.3">
      <c r="A188" s="232" t="s">
        <v>612</v>
      </c>
      <c r="B188" s="232" t="s">
        <v>1545</v>
      </c>
      <c r="C188" s="232">
        <v>0</v>
      </c>
      <c r="D188" s="232">
        <v>0</v>
      </c>
      <c r="E188" s="232">
        <v>0</v>
      </c>
      <c r="F188" s="232">
        <v>0</v>
      </c>
      <c r="G188" s="232">
        <v>0</v>
      </c>
      <c r="H188" s="232">
        <v>1</v>
      </c>
      <c r="I188" s="232">
        <v>0</v>
      </c>
      <c r="J188" s="232">
        <v>1</v>
      </c>
      <c r="K188" s="232"/>
      <c r="L188" s="232" t="s">
        <v>608</v>
      </c>
      <c r="M188" s="232" t="s">
        <v>1040</v>
      </c>
      <c r="N188" s="232" t="s">
        <v>1436</v>
      </c>
      <c r="O188" s="232" t="s">
        <v>609</v>
      </c>
      <c r="P188" s="232" t="s">
        <v>1032</v>
      </c>
      <c r="Q188" s="232" t="s">
        <v>1032</v>
      </c>
      <c r="R188" s="232"/>
      <c r="S188" s="232" t="s">
        <v>610</v>
      </c>
      <c r="T188" s="232" t="s">
        <v>611</v>
      </c>
      <c r="U188" s="232" t="s">
        <v>40</v>
      </c>
      <c r="V188" s="232" t="s">
        <v>1040</v>
      </c>
      <c r="W188" s="232" t="s">
        <v>46</v>
      </c>
      <c r="X188" s="232">
        <f t="shared" si="2"/>
        <v>20</v>
      </c>
    </row>
    <row r="189" spans="1:24" ht="77.150000000000006" customHeight="1" x14ac:dyDescent="0.3">
      <c r="A189" s="232" t="s">
        <v>614</v>
      </c>
      <c r="B189" s="232" t="s">
        <v>1543</v>
      </c>
      <c r="C189" s="232">
        <v>0</v>
      </c>
      <c r="D189" s="232">
        <v>0</v>
      </c>
      <c r="E189" s="232">
        <v>0</v>
      </c>
      <c r="F189" s="232">
        <v>0</v>
      </c>
      <c r="G189" s="232">
        <v>0</v>
      </c>
      <c r="H189" s="232">
        <v>1</v>
      </c>
      <c r="I189" s="232">
        <v>0</v>
      </c>
      <c r="J189" s="232">
        <v>1</v>
      </c>
      <c r="K189" s="232"/>
      <c r="L189" s="232" t="s">
        <v>608</v>
      </c>
      <c r="M189" s="232" t="s">
        <v>1040</v>
      </c>
      <c r="N189" s="232" t="s">
        <v>1436</v>
      </c>
      <c r="O189" s="232" t="s">
        <v>609</v>
      </c>
      <c r="P189" s="232" t="s">
        <v>1032</v>
      </c>
      <c r="Q189" s="232" t="s">
        <v>1032</v>
      </c>
      <c r="R189" s="232"/>
      <c r="S189" s="232" t="s">
        <v>610</v>
      </c>
      <c r="T189" s="232" t="s">
        <v>611</v>
      </c>
      <c r="U189" s="232" t="s">
        <v>40</v>
      </c>
      <c r="V189" s="232" t="s">
        <v>1040</v>
      </c>
      <c r="W189" s="232" t="s">
        <v>46</v>
      </c>
      <c r="X189" s="232">
        <f t="shared" si="2"/>
        <v>20</v>
      </c>
    </row>
    <row r="190" spans="1:24" ht="77.150000000000006" customHeight="1" x14ac:dyDescent="0.3">
      <c r="A190" s="232" t="s">
        <v>616</v>
      </c>
      <c r="B190" s="232" t="s">
        <v>1509</v>
      </c>
      <c r="C190" s="232">
        <v>0</v>
      </c>
      <c r="D190" s="232">
        <v>0</v>
      </c>
      <c r="E190" s="232">
        <v>0</v>
      </c>
      <c r="F190" s="232">
        <v>0</v>
      </c>
      <c r="G190" s="232">
        <v>0</v>
      </c>
      <c r="H190" s="232">
        <v>1</v>
      </c>
      <c r="I190" s="232">
        <v>0</v>
      </c>
      <c r="J190" s="232">
        <v>1</v>
      </c>
      <c r="K190" s="232"/>
      <c r="L190" s="232" t="s">
        <v>608</v>
      </c>
      <c r="M190" s="232" t="s">
        <v>1040</v>
      </c>
      <c r="N190" s="232" t="s">
        <v>1436</v>
      </c>
      <c r="O190" s="232" t="s">
        <v>609</v>
      </c>
      <c r="P190" s="232" t="s">
        <v>1032</v>
      </c>
      <c r="Q190" s="232" t="s">
        <v>1032</v>
      </c>
      <c r="R190" s="232"/>
      <c r="S190" s="232" t="s">
        <v>610</v>
      </c>
      <c r="T190" s="232" t="s">
        <v>611</v>
      </c>
      <c r="U190" s="232" t="s">
        <v>40</v>
      </c>
      <c r="V190" s="232" t="s">
        <v>1040</v>
      </c>
      <c r="W190" s="232" t="s">
        <v>46</v>
      </c>
      <c r="X190" s="232">
        <f t="shared" ref="X190:X255" si="3">IF($W190="Critical Importance",20,IF($W190="Minor Importance",5,10))</f>
        <v>20</v>
      </c>
    </row>
    <row r="191" spans="1:24" ht="77.150000000000006" customHeight="1" x14ac:dyDescent="0.3">
      <c r="A191" s="232" t="s">
        <v>618</v>
      </c>
      <c r="B191" s="232" t="s">
        <v>613</v>
      </c>
      <c r="C191" s="232">
        <v>0</v>
      </c>
      <c r="D191" s="232">
        <v>0</v>
      </c>
      <c r="E191" s="232">
        <v>0</v>
      </c>
      <c r="F191" s="232">
        <v>0</v>
      </c>
      <c r="G191" s="232">
        <v>0</v>
      </c>
      <c r="H191" s="232">
        <v>1</v>
      </c>
      <c r="I191" s="232">
        <v>0</v>
      </c>
      <c r="J191" s="232">
        <v>1</v>
      </c>
      <c r="K191" s="232"/>
      <c r="L191" s="232" t="s">
        <v>608</v>
      </c>
      <c r="M191" s="232" t="s">
        <v>1040</v>
      </c>
      <c r="N191" s="232" t="s">
        <v>1436</v>
      </c>
      <c r="O191" s="232" t="s">
        <v>609</v>
      </c>
      <c r="P191" s="232" t="s">
        <v>1032</v>
      </c>
      <c r="Q191" s="232" t="s">
        <v>1032</v>
      </c>
      <c r="R191" s="232"/>
      <c r="S191" s="232" t="s">
        <v>610</v>
      </c>
      <c r="T191" s="232" t="s">
        <v>611</v>
      </c>
      <c r="U191" s="232" t="s">
        <v>40</v>
      </c>
      <c r="V191" s="232" t="s">
        <v>1040</v>
      </c>
      <c r="W191" s="232" t="s">
        <v>75</v>
      </c>
      <c r="X191" s="232">
        <f t="shared" si="3"/>
        <v>10</v>
      </c>
    </row>
    <row r="192" spans="1:24" ht="77.150000000000006" customHeight="1" x14ac:dyDescent="0.3">
      <c r="A192" s="232" t="s">
        <v>619</v>
      </c>
      <c r="B192" s="232" t="s">
        <v>615</v>
      </c>
      <c r="C192" s="232">
        <v>0</v>
      </c>
      <c r="D192" s="232">
        <v>0</v>
      </c>
      <c r="E192" s="232">
        <v>0</v>
      </c>
      <c r="F192" s="232">
        <v>0</v>
      </c>
      <c r="G192" s="232">
        <v>0</v>
      </c>
      <c r="H192" s="232">
        <v>1</v>
      </c>
      <c r="I192" s="232">
        <v>0</v>
      </c>
      <c r="J192" s="232">
        <v>1</v>
      </c>
      <c r="K192" s="232"/>
      <c r="L192" s="232" t="s">
        <v>608</v>
      </c>
      <c r="M192" s="232" t="s">
        <v>1040</v>
      </c>
      <c r="N192" s="232" t="s">
        <v>1436</v>
      </c>
      <c r="O192" s="232" t="s">
        <v>609</v>
      </c>
      <c r="P192" s="232" t="s">
        <v>1032</v>
      </c>
      <c r="Q192" s="232" t="s">
        <v>1032</v>
      </c>
      <c r="R192" s="232"/>
      <c r="S192" s="232" t="s">
        <v>610</v>
      </c>
      <c r="T192" s="232" t="s">
        <v>611</v>
      </c>
      <c r="U192" s="232" t="s">
        <v>40</v>
      </c>
      <c r="V192" s="232" t="s">
        <v>1040</v>
      </c>
      <c r="W192" s="232" t="s">
        <v>75</v>
      </c>
      <c r="X192" s="232">
        <f t="shared" si="3"/>
        <v>10</v>
      </c>
    </row>
    <row r="193" spans="1:24" ht="77.150000000000006" customHeight="1" x14ac:dyDescent="0.3">
      <c r="A193" s="232" t="s">
        <v>620</v>
      </c>
      <c r="B193" s="232" t="s">
        <v>617</v>
      </c>
      <c r="C193" s="232">
        <v>0</v>
      </c>
      <c r="D193" s="232">
        <v>0</v>
      </c>
      <c r="E193" s="232">
        <v>0</v>
      </c>
      <c r="F193" s="232">
        <v>0</v>
      </c>
      <c r="G193" s="232">
        <v>0</v>
      </c>
      <c r="H193" s="232">
        <v>1</v>
      </c>
      <c r="I193" s="232">
        <v>0</v>
      </c>
      <c r="J193" s="232">
        <v>1</v>
      </c>
      <c r="K193" s="232"/>
      <c r="L193" s="232" t="s">
        <v>608</v>
      </c>
      <c r="M193" s="232" t="s">
        <v>1040</v>
      </c>
      <c r="N193" s="232" t="s">
        <v>1436</v>
      </c>
      <c r="O193" s="232" t="s">
        <v>609</v>
      </c>
      <c r="P193" s="232" t="s">
        <v>1032</v>
      </c>
      <c r="Q193" s="232" t="s">
        <v>1032</v>
      </c>
      <c r="R193" s="232"/>
      <c r="S193" s="232" t="s">
        <v>610</v>
      </c>
      <c r="T193" s="232" t="s">
        <v>611</v>
      </c>
      <c r="U193" s="232" t="s">
        <v>40</v>
      </c>
      <c r="V193" s="232" t="s">
        <v>1040</v>
      </c>
      <c r="W193" s="232" t="s">
        <v>75</v>
      </c>
      <c r="X193" s="232">
        <f t="shared" si="3"/>
        <v>10</v>
      </c>
    </row>
    <row r="194" spans="1:24" ht="77.150000000000006" customHeight="1" x14ac:dyDescent="0.3">
      <c r="A194" s="232" t="s">
        <v>622</v>
      </c>
      <c r="B194" s="232" t="s">
        <v>1510</v>
      </c>
      <c r="C194" s="232">
        <v>0</v>
      </c>
      <c r="D194" s="232">
        <v>0</v>
      </c>
      <c r="E194" s="232">
        <v>0</v>
      </c>
      <c r="F194" s="232">
        <v>0</v>
      </c>
      <c r="G194" s="232">
        <v>0</v>
      </c>
      <c r="H194" s="232">
        <v>1</v>
      </c>
      <c r="I194" s="232">
        <v>0</v>
      </c>
      <c r="J194" s="232">
        <v>1</v>
      </c>
      <c r="K194" s="232"/>
      <c r="L194" s="232" t="s">
        <v>608</v>
      </c>
      <c r="M194" s="232" t="s">
        <v>1040</v>
      </c>
      <c r="N194" s="232" t="s">
        <v>1436</v>
      </c>
      <c r="O194" s="232" t="s">
        <v>609</v>
      </c>
      <c r="P194" s="232" t="s">
        <v>1032</v>
      </c>
      <c r="Q194" s="232" t="s">
        <v>1032</v>
      </c>
      <c r="R194" s="232"/>
      <c r="S194" s="232" t="s">
        <v>610</v>
      </c>
      <c r="T194" s="232" t="s">
        <v>611</v>
      </c>
      <c r="U194" s="232" t="s">
        <v>40</v>
      </c>
      <c r="V194" s="232" t="s">
        <v>1040</v>
      </c>
      <c r="W194" s="232" t="s">
        <v>75</v>
      </c>
      <c r="X194" s="232">
        <f t="shared" si="3"/>
        <v>10</v>
      </c>
    </row>
    <row r="195" spans="1:24" ht="77.150000000000006" customHeight="1" x14ac:dyDescent="0.3">
      <c r="A195" s="232" t="s">
        <v>624</v>
      </c>
      <c r="B195" s="232" t="s">
        <v>621</v>
      </c>
      <c r="C195" s="232">
        <v>0</v>
      </c>
      <c r="D195" s="232">
        <v>0</v>
      </c>
      <c r="E195" s="232">
        <v>0</v>
      </c>
      <c r="F195" s="232">
        <v>0</v>
      </c>
      <c r="G195" s="232">
        <v>0</v>
      </c>
      <c r="H195" s="232">
        <v>1</v>
      </c>
      <c r="I195" s="232">
        <v>0</v>
      </c>
      <c r="J195" s="232">
        <v>1</v>
      </c>
      <c r="K195" s="232"/>
      <c r="L195" s="232" t="s">
        <v>608</v>
      </c>
      <c r="M195" s="232" t="s">
        <v>1040</v>
      </c>
      <c r="N195" s="232" t="s">
        <v>1436</v>
      </c>
      <c r="O195" s="232" t="s">
        <v>609</v>
      </c>
      <c r="P195" s="232" t="s">
        <v>1032</v>
      </c>
      <c r="Q195" s="232" t="s">
        <v>1032</v>
      </c>
      <c r="R195" s="232"/>
      <c r="S195" s="232" t="s">
        <v>610</v>
      </c>
      <c r="T195" s="232" t="s">
        <v>611</v>
      </c>
      <c r="U195" s="232" t="s">
        <v>40</v>
      </c>
      <c r="V195" s="232" t="s">
        <v>1040</v>
      </c>
      <c r="W195" s="232" t="s">
        <v>75</v>
      </c>
      <c r="X195" s="232">
        <f t="shared" si="3"/>
        <v>10</v>
      </c>
    </row>
    <row r="196" spans="1:24" ht="77.150000000000006" customHeight="1" x14ac:dyDescent="0.3">
      <c r="A196" s="232" t="s">
        <v>626</v>
      </c>
      <c r="B196" s="232" t="s">
        <v>623</v>
      </c>
      <c r="C196" s="232">
        <v>0</v>
      </c>
      <c r="D196" s="232">
        <v>0</v>
      </c>
      <c r="E196" s="232">
        <v>0</v>
      </c>
      <c r="F196" s="232">
        <v>0</v>
      </c>
      <c r="G196" s="232">
        <v>0</v>
      </c>
      <c r="H196" s="232">
        <v>1</v>
      </c>
      <c r="I196" s="232">
        <v>0</v>
      </c>
      <c r="J196" s="232">
        <v>1</v>
      </c>
      <c r="K196" s="232"/>
      <c r="L196" s="232" t="s">
        <v>608</v>
      </c>
      <c r="M196" s="232" t="s">
        <v>1040</v>
      </c>
      <c r="N196" s="232" t="s">
        <v>1436</v>
      </c>
      <c r="O196" s="232" t="s">
        <v>609</v>
      </c>
      <c r="P196" s="232" t="s">
        <v>1032</v>
      </c>
      <c r="Q196" s="232" t="s">
        <v>1032</v>
      </c>
      <c r="R196" s="232"/>
      <c r="S196" s="232" t="s">
        <v>610</v>
      </c>
      <c r="T196" s="232" t="s">
        <v>611</v>
      </c>
      <c r="U196" s="232" t="s">
        <v>40</v>
      </c>
      <c r="V196" s="232" t="s">
        <v>1040</v>
      </c>
      <c r="W196" s="232" t="s">
        <v>75</v>
      </c>
      <c r="X196" s="232">
        <f t="shared" si="3"/>
        <v>10</v>
      </c>
    </row>
    <row r="197" spans="1:24" ht="77.150000000000006" customHeight="1" x14ac:dyDescent="0.3">
      <c r="A197" s="232" t="s">
        <v>628</v>
      </c>
      <c r="B197" s="232" t="s">
        <v>625</v>
      </c>
      <c r="C197" s="232">
        <v>0</v>
      </c>
      <c r="D197" s="232">
        <v>0</v>
      </c>
      <c r="E197" s="232">
        <v>0</v>
      </c>
      <c r="F197" s="232">
        <v>0</v>
      </c>
      <c r="G197" s="232">
        <v>0</v>
      </c>
      <c r="H197" s="232">
        <v>1</v>
      </c>
      <c r="I197" s="232">
        <v>0</v>
      </c>
      <c r="J197" s="232">
        <v>1</v>
      </c>
      <c r="K197" s="232"/>
      <c r="L197" s="232" t="s">
        <v>608</v>
      </c>
      <c r="M197" s="232" t="s">
        <v>1040</v>
      </c>
      <c r="N197" s="232" t="s">
        <v>1436</v>
      </c>
      <c r="O197" s="232" t="s">
        <v>609</v>
      </c>
      <c r="P197" s="232" t="s">
        <v>1032</v>
      </c>
      <c r="Q197" s="232" t="s">
        <v>1032</v>
      </c>
      <c r="R197" s="232"/>
      <c r="S197" s="232" t="s">
        <v>610</v>
      </c>
      <c r="T197" s="232" t="s">
        <v>611</v>
      </c>
      <c r="U197" s="232" t="s">
        <v>40</v>
      </c>
      <c r="V197" s="232" t="s">
        <v>1040</v>
      </c>
      <c r="W197" s="232" t="s">
        <v>75</v>
      </c>
      <c r="X197" s="232">
        <f t="shared" si="3"/>
        <v>10</v>
      </c>
    </row>
    <row r="198" spans="1:24" ht="77.150000000000006" customHeight="1" x14ac:dyDescent="0.3">
      <c r="A198" s="232" t="s">
        <v>630</v>
      </c>
      <c r="B198" s="232" t="s">
        <v>627</v>
      </c>
      <c r="C198" s="232">
        <v>0</v>
      </c>
      <c r="D198" s="232">
        <v>0</v>
      </c>
      <c r="E198" s="232">
        <v>0</v>
      </c>
      <c r="F198" s="232">
        <v>0</v>
      </c>
      <c r="G198" s="232">
        <v>0</v>
      </c>
      <c r="H198" s="232">
        <v>1</v>
      </c>
      <c r="I198" s="232">
        <v>0</v>
      </c>
      <c r="J198" s="232">
        <v>1</v>
      </c>
      <c r="K198" s="232"/>
      <c r="L198" s="232" t="s">
        <v>608</v>
      </c>
      <c r="M198" s="232" t="s">
        <v>1040</v>
      </c>
      <c r="N198" s="232" t="s">
        <v>1436</v>
      </c>
      <c r="O198" s="232" t="s">
        <v>609</v>
      </c>
      <c r="P198" s="232" t="s">
        <v>1032</v>
      </c>
      <c r="Q198" s="232" t="s">
        <v>1032</v>
      </c>
      <c r="R198" s="232"/>
      <c r="S198" s="232" t="s">
        <v>610</v>
      </c>
      <c r="T198" s="232" t="s">
        <v>611</v>
      </c>
      <c r="U198" s="232" t="s">
        <v>40</v>
      </c>
      <c r="V198" s="232" t="s">
        <v>1040</v>
      </c>
      <c r="W198" s="232" t="s">
        <v>75</v>
      </c>
      <c r="X198" s="232">
        <f t="shared" si="3"/>
        <v>10</v>
      </c>
    </row>
    <row r="199" spans="1:24" ht="77.150000000000006" customHeight="1" x14ac:dyDescent="0.3">
      <c r="A199" s="232" t="s">
        <v>632</v>
      </c>
      <c r="B199" s="232" t="s">
        <v>629</v>
      </c>
      <c r="C199" s="232">
        <v>0</v>
      </c>
      <c r="D199" s="232">
        <v>0</v>
      </c>
      <c r="E199" s="232">
        <v>0</v>
      </c>
      <c r="F199" s="232">
        <v>0</v>
      </c>
      <c r="G199" s="232">
        <v>0</v>
      </c>
      <c r="H199" s="232">
        <v>1</v>
      </c>
      <c r="I199" s="232">
        <v>0</v>
      </c>
      <c r="J199" s="232">
        <v>1</v>
      </c>
      <c r="K199" s="232"/>
      <c r="L199" s="232" t="s">
        <v>608</v>
      </c>
      <c r="M199" s="232" t="s">
        <v>1040</v>
      </c>
      <c r="N199" s="232" t="s">
        <v>1436</v>
      </c>
      <c r="O199" s="232" t="s">
        <v>609</v>
      </c>
      <c r="P199" s="232" t="s">
        <v>1032</v>
      </c>
      <c r="Q199" s="232" t="s">
        <v>1032</v>
      </c>
      <c r="R199" s="232"/>
      <c r="S199" s="232" t="s">
        <v>610</v>
      </c>
      <c r="T199" s="232" t="s">
        <v>611</v>
      </c>
      <c r="U199" s="232" t="s">
        <v>40</v>
      </c>
      <c r="V199" s="232" t="s">
        <v>1040</v>
      </c>
      <c r="W199" s="232" t="s">
        <v>75</v>
      </c>
      <c r="X199" s="232">
        <f t="shared" si="3"/>
        <v>10</v>
      </c>
    </row>
    <row r="200" spans="1:24" ht="77.150000000000006" customHeight="1" x14ac:dyDescent="0.3">
      <c r="A200" s="232" t="s">
        <v>634</v>
      </c>
      <c r="B200" s="232" t="s">
        <v>631</v>
      </c>
      <c r="C200" s="232">
        <v>0</v>
      </c>
      <c r="D200" s="232">
        <v>0</v>
      </c>
      <c r="E200" s="232">
        <v>0</v>
      </c>
      <c r="F200" s="232">
        <v>0</v>
      </c>
      <c r="G200" s="232">
        <v>0</v>
      </c>
      <c r="H200" s="232">
        <v>1</v>
      </c>
      <c r="I200" s="232">
        <v>0</v>
      </c>
      <c r="J200" s="232">
        <v>1</v>
      </c>
      <c r="K200" s="232"/>
      <c r="L200" s="232" t="s">
        <v>608</v>
      </c>
      <c r="M200" s="232" t="s">
        <v>1040</v>
      </c>
      <c r="N200" s="232" t="s">
        <v>1436</v>
      </c>
      <c r="O200" s="232" t="s">
        <v>609</v>
      </c>
      <c r="P200" s="232" t="s">
        <v>1032</v>
      </c>
      <c r="Q200" s="232" t="s">
        <v>1032</v>
      </c>
      <c r="R200" s="232"/>
      <c r="S200" s="232" t="s">
        <v>610</v>
      </c>
      <c r="T200" s="232" t="s">
        <v>611</v>
      </c>
      <c r="U200" s="232" t="s">
        <v>149</v>
      </c>
      <c r="V200" s="232" t="s">
        <v>1040</v>
      </c>
      <c r="W200" s="232" t="s">
        <v>75</v>
      </c>
      <c r="X200" s="232">
        <f t="shared" si="3"/>
        <v>10</v>
      </c>
    </row>
    <row r="201" spans="1:24" ht="77.150000000000006" customHeight="1" x14ac:dyDescent="0.3">
      <c r="A201" s="232" t="s">
        <v>636</v>
      </c>
      <c r="B201" s="232" t="s">
        <v>633</v>
      </c>
      <c r="C201" s="232">
        <v>0</v>
      </c>
      <c r="D201" s="232">
        <v>0</v>
      </c>
      <c r="E201" s="232">
        <v>0</v>
      </c>
      <c r="F201" s="232">
        <v>0</v>
      </c>
      <c r="G201" s="232">
        <v>0</v>
      </c>
      <c r="H201" s="232">
        <v>1</v>
      </c>
      <c r="I201" s="232">
        <v>0</v>
      </c>
      <c r="J201" s="232">
        <v>1</v>
      </c>
      <c r="K201" s="232"/>
      <c r="L201" s="232" t="s">
        <v>608</v>
      </c>
      <c r="M201" s="232" t="s">
        <v>1040</v>
      </c>
      <c r="N201" s="232" t="s">
        <v>1436</v>
      </c>
      <c r="O201" s="232" t="s">
        <v>609</v>
      </c>
      <c r="P201" s="232" t="s">
        <v>1032</v>
      </c>
      <c r="Q201" s="232" t="s">
        <v>1032</v>
      </c>
      <c r="R201" s="232"/>
      <c r="S201" s="232" t="s">
        <v>610</v>
      </c>
      <c r="T201" s="232" t="s">
        <v>611</v>
      </c>
      <c r="U201" s="232" t="s">
        <v>40</v>
      </c>
      <c r="V201" s="232" t="s">
        <v>1040</v>
      </c>
      <c r="W201" s="232" t="s">
        <v>75</v>
      </c>
      <c r="X201" s="232">
        <f t="shared" si="3"/>
        <v>10</v>
      </c>
    </row>
    <row r="202" spans="1:24" ht="77.150000000000006" customHeight="1" x14ac:dyDescent="0.3">
      <c r="A202" s="232" t="s">
        <v>638</v>
      </c>
      <c r="B202" s="232" t="s">
        <v>635</v>
      </c>
      <c r="C202" s="232">
        <v>0</v>
      </c>
      <c r="D202" s="232">
        <v>0</v>
      </c>
      <c r="E202" s="232">
        <v>0</v>
      </c>
      <c r="F202" s="232">
        <v>0</v>
      </c>
      <c r="G202" s="232">
        <v>0</v>
      </c>
      <c r="H202" s="232">
        <v>1</v>
      </c>
      <c r="I202" s="232">
        <v>0</v>
      </c>
      <c r="J202" s="232">
        <v>1</v>
      </c>
      <c r="K202" s="232"/>
      <c r="L202" s="232" t="s">
        <v>608</v>
      </c>
      <c r="M202" s="232" t="s">
        <v>1040</v>
      </c>
      <c r="N202" s="232" t="s">
        <v>1436</v>
      </c>
      <c r="O202" s="232" t="s">
        <v>609</v>
      </c>
      <c r="P202" s="232" t="s">
        <v>1032</v>
      </c>
      <c r="Q202" s="232" t="s">
        <v>1032</v>
      </c>
      <c r="R202" s="232"/>
      <c r="S202" s="232" t="s">
        <v>610</v>
      </c>
      <c r="T202" s="232" t="s">
        <v>611</v>
      </c>
      <c r="U202" s="232" t="s">
        <v>40</v>
      </c>
      <c r="V202" s="232" t="s">
        <v>1040</v>
      </c>
      <c r="W202" s="232" t="s">
        <v>75</v>
      </c>
      <c r="X202" s="232">
        <f t="shared" si="3"/>
        <v>10</v>
      </c>
    </row>
    <row r="203" spans="1:24" ht="77.150000000000006" customHeight="1" x14ac:dyDescent="0.3">
      <c r="A203" s="232" t="s">
        <v>640</v>
      </c>
      <c r="B203" s="232" t="s">
        <v>637</v>
      </c>
      <c r="C203" s="232">
        <v>0</v>
      </c>
      <c r="D203" s="232">
        <v>0</v>
      </c>
      <c r="E203" s="232">
        <v>0</v>
      </c>
      <c r="F203" s="232">
        <v>0</v>
      </c>
      <c r="G203" s="232">
        <v>0</v>
      </c>
      <c r="H203" s="232">
        <v>1</v>
      </c>
      <c r="I203" s="232">
        <v>0</v>
      </c>
      <c r="J203" s="232">
        <v>1</v>
      </c>
      <c r="K203" s="232"/>
      <c r="L203" s="232" t="s">
        <v>608</v>
      </c>
      <c r="M203" s="232" t="s">
        <v>1040</v>
      </c>
      <c r="N203" s="232" t="s">
        <v>1436</v>
      </c>
      <c r="O203" s="232" t="s">
        <v>609</v>
      </c>
      <c r="P203" s="232" t="s">
        <v>1032</v>
      </c>
      <c r="Q203" s="232" t="s">
        <v>1032</v>
      </c>
      <c r="R203" s="232"/>
      <c r="S203" s="232" t="s">
        <v>610</v>
      </c>
      <c r="T203" s="232" t="s">
        <v>611</v>
      </c>
      <c r="U203" s="232" t="s">
        <v>40</v>
      </c>
      <c r="V203" s="232" t="s">
        <v>1040</v>
      </c>
      <c r="W203" s="232" t="s">
        <v>75</v>
      </c>
      <c r="X203" s="232">
        <f t="shared" si="3"/>
        <v>10</v>
      </c>
    </row>
    <row r="204" spans="1:24" ht="77.150000000000006" customHeight="1" x14ac:dyDescent="0.3">
      <c r="A204" s="232" t="s">
        <v>642</v>
      </c>
      <c r="B204" s="232" t="s">
        <v>639</v>
      </c>
      <c r="C204" s="232">
        <v>0</v>
      </c>
      <c r="D204" s="232">
        <v>0</v>
      </c>
      <c r="E204" s="232">
        <v>0</v>
      </c>
      <c r="F204" s="232">
        <v>0</v>
      </c>
      <c r="G204" s="232">
        <v>0</v>
      </c>
      <c r="H204" s="232">
        <v>1</v>
      </c>
      <c r="I204" s="232">
        <v>0</v>
      </c>
      <c r="J204" s="232">
        <v>1</v>
      </c>
      <c r="K204" s="232"/>
      <c r="L204" s="232" t="s">
        <v>608</v>
      </c>
      <c r="M204" s="232" t="s">
        <v>1040</v>
      </c>
      <c r="N204" s="232" t="s">
        <v>1436</v>
      </c>
      <c r="O204" s="232" t="s">
        <v>609</v>
      </c>
      <c r="P204" s="232" t="s">
        <v>1032</v>
      </c>
      <c r="Q204" s="232" t="s">
        <v>1032</v>
      </c>
      <c r="R204" s="232"/>
      <c r="S204" s="232" t="s">
        <v>610</v>
      </c>
      <c r="T204" s="232" t="s">
        <v>611</v>
      </c>
      <c r="U204" s="232" t="s">
        <v>149</v>
      </c>
      <c r="V204" s="232" t="s">
        <v>1040</v>
      </c>
      <c r="W204" s="232" t="s">
        <v>75</v>
      </c>
      <c r="X204" s="232">
        <f t="shared" si="3"/>
        <v>10</v>
      </c>
    </row>
    <row r="205" spans="1:24" ht="77.150000000000006" customHeight="1" x14ac:dyDescent="0.3">
      <c r="A205" s="232" t="s">
        <v>643</v>
      </c>
      <c r="B205" s="232" t="s">
        <v>641</v>
      </c>
      <c r="C205" s="232">
        <v>0</v>
      </c>
      <c r="D205" s="232">
        <v>0</v>
      </c>
      <c r="E205" s="232">
        <v>0</v>
      </c>
      <c r="F205" s="232">
        <v>0</v>
      </c>
      <c r="G205" s="232">
        <v>0</v>
      </c>
      <c r="H205" s="232">
        <v>1</v>
      </c>
      <c r="I205" s="232">
        <v>0</v>
      </c>
      <c r="J205" s="232">
        <v>1</v>
      </c>
      <c r="K205" s="232"/>
      <c r="L205" s="232" t="s">
        <v>608</v>
      </c>
      <c r="M205" s="232" t="s">
        <v>1040</v>
      </c>
      <c r="N205" s="232" t="s">
        <v>1436</v>
      </c>
      <c r="O205" s="232" t="s">
        <v>609</v>
      </c>
      <c r="P205" s="232" t="s">
        <v>1032</v>
      </c>
      <c r="Q205" s="232" t="s">
        <v>1032</v>
      </c>
      <c r="R205" s="232"/>
      <c r="S205" s="232" t="s">
        <v>610</v>
      </c>
      <c r="T205" s="232" t="s">
        <v>611</v>
      </c>
      <c r="U205" s="232" t="s">
        <v>40</v>
      </c>
      <c r="V205" s="232" t="s">
        <v>1040</v>
      </c>
      <c r="W205" s="232" t="s">
        <v>75</v>
      </c>
      <c r="X205" s="232">
        <f t="shared" si="3"/>
        <v>10</v>
      </c>
    </row>
    <row r="206" spans="1:24" ht="77.150000000000006" customHeight="1" x14ac:dyDescent="0.3">
      <c r="A206" s="232" t="s">
        <v>645</v>
      </c>
      <c r="B206" s="232" t="s">
        <v>1437</v>
      </c>
      <c r="C206" s="232">
        <v>0</v>
      </c>
      <c r="D206" s="232">
        <v>0</v>
      </c>
      <c r="E206" s="232">
        <v>0</v>
      </c>
      <c r="F206" s="232">
        <v>0</v>
      </c>
      <c r="G206" s="232">
        <v>0</v>
      </c>
      <c r="H206" s="232">
        <v>1</v>
      </c>
      <c r="I206" s="232">
        <v>0</v>
      </c>
      <c r="J206" s="232">
        <v>1</v>
      </c>
      <c r="K206" s="232"/>
      <c r="L206" s="232" t="s">
        <v>608</v>
      </c>
      <c r="M206" s="232" t="s">
        <v>1040</v>
      </c>
      <c r="N206" s="232" t="s">
        <v>1436</v>
      </c>
      <c r="O206" s="232" t="s">
        <v>609</v>
      </c>
      <c r="P206" s="232" t="s">
        <v>1032</v>
      </c>
      <c r="Q206" s="232" t="s">
        <v>1032</v>
      </c>
      <c r="R206" s="232"/>
      <c r="S206" s="232" t="s">
        <v>610</v>
      </c>
      <c r="T206" s="232" t="s">
        <v>611</v>
      </c>
      <c r="U206" s="232" t="s">
        <v>40</v>
      </c>
      <c r="V206" s="232" t="s">
        <v>1040</v>
      </c>
      <c r="W206" s="232" t="s">
        <v>75</v>
      </c>
      <c r="X206" s="232">
        <f t="shared" si="3"/>
        <v>10</v>
      </c>
    </row>
    <row r="207" spans="1:24" ht="77.150000000000006" customHeight="1" x14ac:dyDescent="0.3">
      <c r="A207" s="232" t="s">
        <v>646</v>
      </c>
      <c r="B207" s="232" t="s">
        <v>644</v>
      </c>
      <c r="C207" s="232">
        <v>0</v>
      </c>
      <c r="D207" s="232">
        <v>0</v>
      </c>
      <c r="E207" s="232">
        <v>0</v>
      </c>
      <c r="F207" s="232">
        <v>0</v>
      </c>
      <c r="G207" s="232">
        <v>0</v>
      </c>
      <c r="H207" s="232">
        <v>1</v>
      </c>
      <c r="I207" s="232">
        <v>0</v>
      </c>
      <c r="J207" s="232">
        <v>1</v>
      </c>
      <c r="K207" s="232"/>
      <c r="L207" s="232" t="s">
        <v>608</v>
      </c>
      <c r="M207" s="232" t="s">
        <v>1040</v>
      </c>
      <c r="N207" s="232" t="s">
        <v>1436</v>
      </c>
      <c r="O207" s="232" t="s">
        <v>609</v>
      </c>
      <c r="P207" s="232" t="s">
        <v>1032</v>
      </c>
      <c r="Q207" s="232" t="s">
        <v>1032</v>
      </c>
      <c r="R207" s="232"/>
      <c r="S207" s="232" t="s">
        <v>610</v>
      </c>
      <c r="T207" s="232" t="s">
        <v>611</v>
      </c>
      <c r="U207" s="232" t="s">
        <v>40</v>
      </c>
      <c r="V207" s="232" t="s">
        <v>1040</v>
      </c>
      <c r="W207" s="232" t="s">
        <v>75</v>
      </c>
      <c r="X207" s="232">
        <f t="shared" si="3"/>
        <v>10</v>
      </c>
    </row>
    <row r="208" spans="1:24" ht="77.150000000000006" customHeight="1" x14ac:dyDescent="0.3">
      <c r="A208" s="232" t="s">
        <v>647</v>
      </c>
      <c r="B208" s="232" t="s">
        <v>1180</v>
      </c>
      <c r="C208" s="232">
        <v>0</v>
      </c>
      <c r="D208" s="232">
        <v>0</v>
      </c>
      <c r="E208" s="232">
        <v>0</v>
      </c>
      <c r="F208" s="232">
        <v>0</v>
      </c>
      <c r="G208" s="232">
        <v>0</v>
      </c>
      <c r="H208" s="232">
        <v>1</v>
      </c>
      <c r="I208" s="232">
        <v>0</v>
      </c>
      <c r="J208" s="232">
        <v>1</v>
      </c>
      <c r="K208" s="232"/>
      <c r="L208" s="232" t="s">
        <v>608</v>
      </c>
      <c r="M208" s="232" t="s">
        <v>1040</v>
      </c>
      <c r="N208" s="232" t="s">
        <v>1436</v>
      </c>
      <c r="O208" s="232" t="s">
        <v>609</v>
      </c>
      <c r="P208" s="232" t="s">
        <v>1032</v>
      </c>
      <c r="Q208" s="232" t="s">
        <v>1032</v>
      </c>
      <c r="R208" s="232"/>
      <c r="S208" s="232" t="s">
        <v>610</v>
      </c>
      <c r="T208" s="232" t="s">
        <v>611</v>
      </c>
      <c r="U208" s="232" t="s">
        <v>40</v>
      </c>
      <c r="V208" s="232" t="s">
        <v>1040</v>
      </c>
      <c r="W208" s="232" t="s">
        <v>75</v>
      </c>
      <c r="X208" s="232">
        <f t="shared" si="3"/>
        <v>10</v>
      </c>
    </row>
    <row r="209" spans="1:24" ht="77.150000000000006" customHeight="1" x14ac:dyDescent="0.3">
      <c r="A209" s="232" t="s">
        <v>649</v>
      </c>
      <c r="B209" s="232" t="s">
        <v>1616</v>
      </c>
      <c r="C209" s="232">
        <v>0</v>
      </c>
      <c r="D209" s="232">
        <v>0</v>
      </c>
      <c r="E209" s="232">
        <v>0</v>
      </c>
      <c r="F209" s="232">
        <v>0</v>
      </c>
      <c r="G209" s="232">
        <v>0</v>
      </c>
      <c r="H209" s="232">
        <v>1</v>
      </c>
      <c r="I209" s="232">
        <v>0</v>
      </c>
      <c r="J209" s="232">
        <v>1</v>
      </c>
      <c r="K209" s="232"/>
      <c r="L209" s="232" t="s">
        <v>608</v>
      </c>
      <c r="M209" s="232" t="s">
        <v>1040</v>
      </c>
      <c r="N209" s="232" t="s">
        <v>1436</v>
      </c>
      <c r="O209" s="232" t="s">
        <v>609</v>
      </c>
      <c r="P209" s="232" t="s">
        <v>1618</v>
      </c>
      <c r="Q209" s="232" t="s">
        <v>1618</v>
      </c>
      <c r="R209" s="232"/>
      <c r="S209" s="232" t="s">
        <v>610</v>
      </c>
      <c r="T209" s="232" t="s">
        <v>611</v>
      </c>
      <c r="U209" s="232" t="s">
        <v>40</v>
      </c>
      <c r="V209" s="232" t="s">
        <v>1040</v>
      </c>
      <c r="W209" s="232" t="s">
        <v>75</v>
      </c>
      <c r="X209" s="232">
        <f t="shared" si="3"/>
        <v>10</v>
      </c>
    </row>
    <row r="210" spans="1:24" ht="77.150000000000006" customHeight="1" x14ac:dyDescent="0.3">
      <c r="A210" s="232" t="s">
        <v>651</v>
      </c>
      <c r="B210" s="232" t="s">
        <v>648</v>
      </c>
      <c r="C210" s="232">
        <v>0</v>
      </c>
      <c r="D210" s="232">
        <v>0</v>
      </c>
      <c r="E210" s="232">
        <v>0</v>
      </c>
      <c r="F210" s="232">
        <v>0</v>
      </c>
      <c r="G210" s="232">
        <v>0</v>
      </c>
      <c r="H210" s="232">
        <v>1</v>
      </c>
      <c r="I210" s="232">
        <v>0</v>
      </c>
      <c r="J210" s="232">
        <v>1</v>
      </c>
      <c r="K210" s="232"/>
      <c r="L210" s="232" t="s">
        <v>608</v>
      </c>
      <c r="M210" s="232" t="s">
        <v>1040</v>
      </c>
      <c r="N210" s="232" t="s">
        <v>1436</v>
      </c>
      <c r="O210" s="232" t="s">
        <v>609</v>
      </c>
      <c r="P210" s="232" t="s">
        <v>1032</v>
      </c>
      <c r="Q210" s="232" t="s">
        <v>1032</v>
      </c>
      <c r="R210" s="232"/>
      <c r="S210" s="232" t="s">
        <v>610</v>
      </c>
      <c r="T210" s="232" t="s">
        <v>611</v>
      </c>
      <c r="U210" s="232" t="s">
        <v>40</v>
      </c>
      <c r="V210" s="232" t="s">
        <v>1040</v>
      </c>
      <c r="W210" s="232" t="s">
        <v>75</v>
      </c>
      <c r="X210" s="232">
        <f t="shared" si="3"/>
        <v>10</v>
      </c>
    </row>
    <row r="211" spans="1:24" ht="77.150000000000006" customHeight="1" x14ac:dyDescent="0.3">
      <c r="A211" s="232" t="s">
        <v>653</v>
      </c>
      <c r="B211" s="232" t="s">
        <v>650</v>
      </c>
      <c r="C211" s="232">
        <v>0</v>
      </c>
      <c r="D211" s="232">
        <v>0</v>
      </c>
      <c r="E211" s="232">
        <v>0</v>
      </c>
      <c r="F211" s="232">
        <v>0</v>
      </c>
      <c r="G211" s="232">
        <v>0</v>
      </c>
      <c r="H211" s="232">
        <v>1</v>
      </c>
      <c r="I211" s="232">
        <v>0</v>
      </c>
      <c r="J211" s="232">
        <v>1</v>
      </c>
      <c r="K211" s="232"/>
      <c r="L211" s="232" t="s">
        <v>608</v>
      </c>
      <c r="M211" s="232" t="s">
        <v>1040</v>
      </c>
      <c r="N211" s="232" t="s">
        <v>1436</v>
      </c>
      <c r="O211" s="232" t="s">
        <v>609</v>
      </c>
      <c r="P211" s="232" t="s">
        <v>1032</v>
      </c>
      <c r="Q211" s="232" t="s">
        <v>1032</v>
      </c>
      <c r="R211" s="232"/>
      <c r="S211" s="232" t="s">
        <v>610</v>
      </c>
      <c r="T211" s="232" t="s">
        <v>611</v>
      </c>
      <c r="U211" s="232" t="s">
        <v>40</v>
      </c>
      <c r="V211" s="232" t="s">
        <v>1040</v>
      </c>
      <c r="W211" s="232" t="s">
        <v>75</v>
      </c>
      <c r="X211" s="232">
        <f t="shared" si="3"/>
        <v>10</v>
      </c>
    </row>
    <row r="212" spans="1:24" ht="77.150000000000006" customHeight="1" x14ac:dyDescent="0.3">
      <c r="A212" s="232" t="s">
        <v>655</v>
      </c>
      <c r="B212" s="232" t="s">
        <v>654</v>
      </c>
      <c r="C212" s="232">
        <v>0</v>
      </c>
      <c r="D212" s="232">
        <v>0</v>
      </c>
      <c r="E212" s="232">
        <v>0</v>
      </c>
      <c r="F212" s="232">
        <v>0</v>
      </c>
      <c r="G212" s="232">
        <v>0</v>
      </c>
      <c r="H212" s="232">
        <v>1</v>
      </c>
      <c r="I212" s="232">
        <v>0</v>
      </c>
      <c r="J212" s="232">
        <v>1</v>
      </c>
      <c r="K212" s="232"/>
      <c r="L212" s="232" t="s">
        <v>608</v>
      </c>
      <c r="M212" s="232" t="s">
        <v>1040</v>
      </c>
      <c r="N212" s="232" t="s">
        <v>1436</v>
      </c>
      <c r="O212" s="232" t="s">
        <v>609</v>
      </c>
      <c r="P212" s="232" t="s">
        <v>1032</v>
      </c>
      <c r="Q212" s="232" t="s">
        <v>1032</v>
      </c>
      <c r="R212" s="232"/>
      <c r="S212" s="232" t="s">
        <v>610</v>
      </c>
      <c r="T212" s="232" t="s">
        <v>611</v>
      </c>
      <c r="U212" s="232" t="s">
        <v>40</v>
      </c>
      <c r="V212" s="232" t="s">
        <v>1040</v>
      </c>
      <c r="W212" s="232" t="s">
        <v>75</v>
      </c>
      <c r="X212" s="232">
        <f t="shared" si="3"/>
        <v>10</v>
      </c>
    </row>
    <row r="213" spans="1:24" ht="77.150000000000006" customHeight="1" x14ac:dyDescent="0.3">
      <c r="A213" s="232" t="s">
        <v>656</v>
      </c>
      <c r="B213" s="232" t="s">
        <v>657</v>
      </c>
      <c r="C213" s="232">
        <v>0</v>
      </c>
      <c r="D213" s="232">
        <v>0</v>
      </c>
      <c r="E213" s="232">
        <v>0</v>
      </c>
      <c r="F213" s="232">
        <v>0</v>
      </c>
      <c r="G213" s="232">
        <v>0</v>
      </c>
      <c r="H213" s="232">
        <v>1</v>
      </c>
      <c r="I213" s="232">
        <v>0</v>
      </c>
      <c r="J213" s="232">
        <v>1</v>
      </c>
      <c r="K213" s="232"/>
      <c r="L213" s="232" t="s">
        <v>608</v>
      </c>
      <c r="M213" s="232" t="s">
        <v>1040</v>
      </c>
      <c r="N213" s="232" t="s">
        <v>1436</v>
      </c>
      <c r="O213" s="232" t="s">
        <v>609</v>
      </c>
      <c r="P213" s="232" t="s">
        <v>1032</v>
      </c>
      <c r="Q213" s="232" t="s">
        <v>1032</v>
      </c>
      <c r="R213" s="232"/>
      <c r="S213" s="232" t="s">
        <v>610</v>
      </c>
      <c r="T213" s="232" t="s">
        <v>611</v>
      </c>
      <c r="U213" s="232" t="s">
        <v>40</v>
      </c>
      <c r="V213" s="232" t="s">
        <v>1040</v>
      </c>
      <c r="W213" s="232" t="s">
        <v>75</v>
      </c>
      <c r="X213" s="232">
        <f t="shared" si="3"/>
        <v>10</v>
      </c>
    </row>
    <row r="214" spans="1:24" ht="77.150000000000006" customHeight="1" x14ac:dyDescent="0.3">
      <c r="A214" s="232" t="s">
        <v>658</v>
      </c>
      <c r="B214" s="232" t="s">
        <v>659</v>
      </c>
      <c r="C214" s="232">
        <v>0</v>
      </c>
      <c r="D214" s="232">
        <v>0</v>
      </c>
      <c r="E214" s="232">
        <v>0</v>
      </c>
      <c r="F214" s="232">
        <v>0</v>
      </c>
      <c r="G214" s="232">
        <v>0</v>
      </c>
      <c r="H214" s="232">
        <v>1</v>
      </c>
      <c r="I214" s="232">
        <v>0</v>
      </c>
      <c r="J214" s="232">
        <v>1</v>
      </c>
      <c r="K214" s="232"/>
      <c r="L214" s="232" t="s">
        <v>608</v>
      </c>
      <c r="M214" s="232" t="s">
        <v>1040</v>
      </c>
      <c r="N214" s="232" t="s">
        <v>1436</v>
      </c>
      <c r="O214" s="232" t="s">
        <v>609</v>
      </c>
      <c r="P214" s="232" t="s">
        <v>1032</v>
      </c>
      <c r="Q214" s="232" t="s">
        <v>1032</v>
      </c>
      <c r="R214" s="232"/>
      <c r="S214" s="232" t="s">
        <v>610</v>
      </c>
      <c r="T214" s="232" t="s">
        <v>611</v>
      </c>
      <c r="U214" s="232" t="s">
        <v>40</v>
      </c>
      <c r="V214" s="232" t="s">
        <v>1040</v>
      </c>
      <c r="W214" s="232" t="s">
        <v>75</v>
      </c>
      <c r="X214" s="232">
        <f t="shared" si="3"/>
        <v>10</v>
      </c>
    </row>
    <row r="215" spans="1:24" ht="77.150000000000006" customHeight="1" x14ac:dyDescent="0.3">
      <c r="A215" s="232" t="s">
        <v>660</v>
      </c>
      <c r="B215" s="232" t="s">
        <v>652</v>
      </c>
      <c r="C215" s="232">
        <v>0</v>
      </c>
      <c r="D215" s="232">
        <v>0</v>
      </c>
      <c r="E215" s="232">
        <v>0</v>
      </c>
      <c r="F215" s="232">
        <v>0</v>
      </c>
      <c r="G215" s="232">
        <v>0</v>
      </c>
      <c r="H215" s="232">
        <v>1</v>
      </c>
      <c r="I215" s="232">
        <v>0</v>
      </c>
      <c r="J215" s="232">
        <v>1</v>
      </c>
      <c r="K215" s="232"/>
      <c r="L215" s="232" t="s">
        <v>608</v>
      </c>
      <c r="M215" s="232" t="s">
        <v>1040</v>
      </c>
      <c r="N215" s="232" t="s">
        <v>1436</v>
      </c>
      <c r="O215" s="232" t="s">
        <v>609</v>
      </c>
      <c r="P215" s="232" t="s">
        <v>1032</v>
      </c>
      <c r="Q215" s="232" t="s">
        <v>1032</v>
      </c>
      <c r="R215" s="232"/>
      <c r="S215" s="232" t="s">
        <v>610</v>
      </c>
      <c r="T215" s="232" t="s">
        <v>611</v>
      </c>
      <c r="U215" s="232" t="s">
        <v>40</v>
      </c>
      <c r="V215" s="232" t="s">
        <v>1040</v>
      </c>
      <c r="W215" s="232" t="s">
        <v>41</v>
      </c>
      <c r="X215" s="232">
        <f t="shared" si="3"/>
        <v>5</v>
      </c>
    </row>
    <row r="216" spans="1:24" ht="60.75" customHeight="1" x14ac:dyDescent="0.3">
      <c r="A216" s="232" t="s">
        <v>661</v>
      </c>
      <c r="B216" s="232" t="s">
        <v>1074</v>
      </c>
      <c r="C216" s="232">
        <v>0</v>
      </c>
      <c r="D216" s="232">
        <v>0</v>
      </c>
      <c r="E216" s="232">
        <v>0</v>
      </c>
      <c r="F216" s="232">
        <v>0</v>
      </c>
      <c r="G216" s="232">
        <v>0</v>
      </c>
      <c r="H216" s="232">
        <v>1</v>
      </c>
      <c r="I216" s="232">
        <v>0</v>
      </c>
      <c r="J216" s="232">
        <v>1</v>
      </c>
      <c r="K216" s="232"/>
      <c r="L216" s="232" t="s">
        <v>148</v>
      </c>
      <c r="M216" s="232" t="s">
        <v>1040</v>
      </c>
      <c r="N216" s="232" t="s">
        <v>1438</v>
      </c>
      <c r="O216" s="232" t="s">
        <v>662</v>
      </c>
      <c r="P216" s="232" t="s">
        <v>1032</v>
      </c>
      <c r="Q216" s="232" t="s">
        <v>1032</v>
      </c>
      <c r="R216" s="232"/>
      <c r="S216" s="232" t="s">
        <v>663</v>
      </c>
      <c r="T216" s="232" t="s">
        <v>664</v>
      </c>
      <c r="U216" s="232" t="s">
        <v>40</v>
      </c>
      <c r="V216" s="232" t="s">
        <v>1040</v>
      </c>
      <c r="W216" s="232" t="s">
        <v>46</v>
      </c>
      <c r="X216" s="232">
        <f t="shared" si="3"/>
        <v>20</v>
      </c>
    </row>
    <row r="217" spans="1:24" ht="56" x14ac:dyDescent="0.3">
      <c r="A217" s="232" t="s">
        <v>665</v>
      </c>
      <c r="B217" s="232" t="s">
        <v>1075</v>
      </c>
      <c r="C217" s="232">
        <v>0</v>
      </c>
      <c r="D217" s="232">
        <v>0</v>
      </c>
      <c r="E217" s="232">
        <v>0</v>
      </c>
      <c r="F217" s="232">
        <v>0</v>
      </c>
      <c r="G217" s="232">
        <v>0</v>
      </c>
      <c r="H217" s="232">
        <v>1</v>
      </c>
      <c r="I217" s="232">
        <v>0</v>
      </c>
      <c r="J217" s="232">
        <v>1</v>
      </c>
      <c r="K217" s="232"/>
      <c r="L217" s="232" t="s">
        <v>148</v>
      </c>
      <c r="M217" s="232" t="s">
        <v>1040</v>
      </c>
      <c r="N217" s="232" t="s">
        <v>1438</v>
      </c>
      <c r="O217" s="232" t="s">
        <v>662</v>
      </c>
      <c r="P217" s="232" t="s">
        <v>1032</v>
      </c>
      <c r="Q217" s="232" t="s">
        <v>1032</v>
      </c>
      <c r="R217" s="232"/>
      <c r="S217" s="232" t="s">
        <v>663</v>
      </c>
      <c r="T217" s="232" t="s">
        <v>664</v>
      </c>
      <c r="U217" s="232" t="s">
        <v>149</v>
      </c>
      <c r="V217" s="232" t="s">
        <v>1040</v>
      </c>
      <c r="W217" s="232" t="s">
        <v>46</v>
      </c>
      <c r="X217" s="232">
        <f t="shared" si="3"/>
        <v>20</v>
      </c>
    </row>
    <row r="218" spans="1:24" ht="56" x14ac:dyDescent="0.3">
      <c r="A218" s="232" t="s">
        <v>667</v>
      </c>
      <c r="B218" s="232" t="s">
        <v>1254</v>
      </c>
      <c r="C218" s="232">
        <v>0</v>
      </c>
      <c r="D218" s="232">
        <v>0</v>
      </c>
      <c r="E218" s="232">
        <v>0</v>
      </c>
      <c r="F218" s="232">
        <v>0</v>
      </c>
      <c r="G218" s="232">
        <v>0</v>
      </c>
      <c r="H218" s="232">
        <v>1</v>
      </c>
      <c r="I218" s="232">
        <v>0</v>
      </c>
      <c r="J218" s="232">
        <v>1</v>
      </c>
      <c r="K218" s="232"/>
      <c r="L218" s="232" t="s">
        <v>148</v>
      </c>
      <c r="M218" s="232" t="s">
        <v>1040</v>
      </c>
      <c r="N218" s="232" t="s">
        <v>1438</v>
      </c>
      <c r="O218" s="232" t="s">
        <v>662</v>
      </c>
      <c r="P218" s="232" t="s">
        <v>1032</v>
      </c>
      <c r="Q218" s="232" t="s">
        <v>1032</v>
      </c>
      <c r="R218" s="232"/>
      <c r="S218" s="232" t="s">
        <v>663</v>
      </c>
      <c r="T218" s="232" t="s">
        <v>664</v>
      </c>
      <c r="U218" s="232" t="s">
        <v>149</v>
      </c>
      <c r="V218" s="232" t="s">
        <v>1040</v>
      </c>
      <c r="W218" s="232" t="s">
        <v>46</v>
      </c>
      <c r="X218" s="232">
        <f t="shared" si="3"/>
        <v>20</v>
      </c>
    </row>
    <row r="219" spans="1:24" ht="56" x14ac:dyDescent="0.3">
      <c r="A219" s="232" t="s">
        <v>668</v>
      </c>
      <c r="B219" s="232" t="s">
        <v>1255</v>
      </c>
      <c r="C219" s="232">
        <v>0</v>
      </c>
      <c r="D219" s="232">
        <v>0</v>
      </c>
      <c r="E219" s="232">
        <v>0</v>
      </c>
      <c r="F219" s="232">
        <v>0</v>
      </c>
      <c r="G219" s="232">
        <v>0</v>
      </c>
      <c r="H219" s="232">
        <v>1</v>
      </c>
      <c r="I219" s="232">
        <v>0</v>
      </c>
      <c r="J219" s="232">
        <v>1</v>
      </c>
      <c r="K219" s="232"/>
      <c r="L219" s="232" t="s">
        <v>148</v>
      </c>
      <c r="M219" s="232" t="s">
        <v>1040</v>
      </c>
      <c r="N219" s="232" t="s">
        <v>1438</v>
      </c>
      <c r="O219" s="232" t="s">
        <v>662</v>
      </c>
      <c r="P219" s="232" t="s">
        <v>1032</v>
      </c>
      <c r="Q219" s="232" t="s">
        <v>1032</v>
      </c>
      <c r="R219" s="232"/>
      <c r="S219" s="232" t="s">
        <v>663</v>
      </c>
      <c r="T219" s="232" t="s">
        <v>664</v>
      </c>
      <c r="U219" s="232" t="s">
        <v>40</v>
      </c>
      <c r="V219" s="232" t="s">
        <v>1040</v>
      </c>
      <c r="W219" s="232" t="s">
        <v>75</v>
      </c>
      <c r="X219" s="232">
        <f t="shared" si="3"/>
        <v>10</v>
      </c>
    </row>
    <row r="220" spans="1:24" ht="56" x14ac:dyDescent="0.3">
      <c r="A220" s="232" t="s">
        <v>670</v>
      </c>
      <c r="B220" s="232" t="s">
        <v>666</v>
      </c>
      <c r="C220" s="232">
        <v>0</v>
      </c>
      <c r="D220" s="232">
        <v>0</v>
      </c>
      <c r="E220" s="232">
        <v>0</v>
      </c>
      <c r="F220" s="232">
        <v>0</v>
      </c>
      <c r="G220" s="232">
        <v>0</v>
      </c>
      <c r="H220" s="232">
        <v>1</v>
      </c>
      <c r="I220" s="232">
        <v>0</v>
      </c>
      <c r="J220" s="232">
        <v>1</v>
      </c>
      <c r="K220" s="232"/>
      <c r="L220" s="232" t="s">
        <v>148</v>
      </c>
      <c r="M220" s="232" t="s">
        <v>1040</v>
      </c>
      <c r="N220" s="232" t="s">
        <v>1438</v>
      </c>
      <c r="O220" s="232" t="s">
        <v>662</v>
      </c>
      <c r="P220" s="232" t="s">
        <v>1032</v>
      </c>
      <c r="Q220" s="232" t="s">
        <v>1032</v>
      </c>
      <c r="R220" s="232"/>
      <c r="S220" s="232" t="s">
        <v>663</v>
      </c>
      <c r="T220" s="232" t="s">
        <v>664</v>
      </c>
      <c r="U220" s="232" t="s">
        <v>40</v>
      </c>
      <c r="V220" s="232" t="s">
        <v>1040</v>
      </c>
      <c r="W220" s="232" t="s">
        <v>75</v>
      </c>
      <c r="X220" s="232">
        <f t="shared" si="3"/>
        <v>10</v>
      </c>
    </row>
    <row r="221" spans="1:24" ht="56" x14ac:dyDescent="0.3">
      <c r="A221" s="232" t="s">
        <v>671</v>
      </c>
      <c r="B221" s="232" t="s">
        <v>669</v>
      </c>
      <c r="C221" s="232">
        <v>0</v>
      </c>
      <c r="D221" s="232">
        <v>0</v>
      </c>
      <c r="E221" s="232">
        <v>0</v>
      </c>
      <c r="F221" s="232">
        <v>0</v>
      </c>
      <c r="G221" s="232">
        <v>0</v>
      </c>
      <c r="H221" s="232">
        <v>1</v>
      </c>
      <c r="I221" s="232">
        <v>0</v>
      </c>
      <c r="J221" s="232">
        <v>1</v>
      </c>
      <c r="K221" s="232"/>
      <c r="L221" s="232" t="s">
        <v>148</v>
      </c>
      <c r="M221" s="232" t="s">
        <v>1040</v>
      </c>
      <c r="N221" s="232" t="s">
        <v>1438</v>
      </c>
      <c r="O221" s="232" t="s">
        <v>662</v>
      </c>
      <c r="P221" s="232" t="s">
        <v>1032</v>
      </c>
      <c r="Q221" s="232" t="s">
        <v>1032</v>
      </c>
      <c r="R221" s="232"/>
      <c r="S221" s="232" t="s">
        <v>663</v>
      </c>
      <c r="T221" s="232" t="s">
        <v>664</v>
      </c>
      <c r="U221" s="232" t="s">
        <v>40</v>
      </c>
      <c r="V221" s="232" t="s">
        <v>1040</v>
      </c>
      <c r="W221" s="232" t="s">
        <v>75</v>
      </c>
      <c r="X221" s="232">
        <f t="shared" si="3"/>
        <v>10</v>
      </c>
    </row>
    <row r="222" spans="1:24" ht="56" x14ac:dyDescent="0.3">
      <c r="A222" s="232" t="s">
        <v>673</v>
      </c>
      <c r="B222" s="232" t="s">
        <v>1511</v>
      </c>
      <c r="C222" s="232">
        <v>0</v>
      </c>
      <c r="D222" s="232">
        <v>0</v>
      </c>
      <c r="E222" s="232">
        <v>0</v>
      </c>
      <c r="F222" s="232">
        <v>0</v>
      </c>
      <c r="G222" s="232">
        <v>0</v>
      </c>
      <c r="H222" s="232">
        <v>1</v>
      </c>
      <c r="I222" s="232">
        <v>0</v>
      </c>
      <c r="J222" s="232">
        <v>1</v>
      </c>
      <c r="K222" s="232"/>
      <c r="L222" s="232" t="s">
        <v>148</v>
      </c>
      <c r="M222" s="232" t="s">
        <v>1040</v>
      </c>
      <c r="N222" s="232" t="s">
        <v>1438</v>
      </c>
      <c r="O222" s="232" t="s">
        <v>662</v>
      </c>
      <c r="P222" s="232" t="s">
        <v>1032</v>
      </c>
      <c r="Q222" s="232" t="s">
        <v>1032</v>
      </c>
      <c r="R222" s="232"/>
      <c r="S222" s="232" t="s">
        <v>663</v>
      </c>
      <c r="T222" s="232" t="s">
        <v>664</v>
      </c>
      <c r="U222" s="232" t="s">
        <v>40</v>
      </c>
      <c r="V222" s="232" t="s">
        <v>1040</v>
      </c>
      <c r="W222" s="232" t="s">
        <v>75</v>
      </c>
      <c r="X222" s="232">
        <f t="shared" si="3"/>
        <v>10</v>
      </c>
    </row>
    <row r="223" spans="1:24" ht="56" x14ac:dyDescent="0.3">
      <c r="A223" s="232" t="s">
        <v>675</v>
      </c>
      <c r="B223" s="232" t="s">
        <v>672</v>
      </c>
      <c r="C223" s="232">
        <v>0</v>
      </c>
      <c r="D223" s="232">
        <v>0</v>
      </c>
      <c r="E223" s="232">
        <v>0</v>
      </c>
      <c r="F223" s="232">
        <v>0</v>
      </c>
      <c r="G223" s="232">
        <v>0</v>
      </c>
      <c r="H223" s="232">
        <v>1</v>
      </c>
      <c r="I223" s="232">
        <v>0</v>
      </c>
      <c r="J223" s="232">
        <v>1</v>
      </c>
      <c r="K223" s="232"/>
      <c r="L223" s="232" t="s">
        <v>148</v>
      </c>
      <c r="M223" s="232" t="s">
        <v>1040</v>
      </c>
      <c r="N223" s="232" t="s">
        <v>1438</v>
      </c>
      <c r="O223" s="232" t="s">
        <v>662</v>
      </c>
      <c r="P223" s="232" t="s">
        <v>1032</v>
      </c>
      <c r="Q223" s="232" t="s">
        <v>1032</v>
      </c>
      <c r="R223" s="232"/>
      <c r="S223" s="232" t="s">
        <v>663</v>
      </c>
      <c r="T223" s="232" t="s">
        <v>664</v>
      </c>
      <c r="U223" s="232" t="s">
        <v>40</v>
      </c>
      <c r="V223" s="232" t="s">
        <v>1040</v>
      </c>
      <c r="W223" s="232" t="s">
        <v>75</v>
      </c>
      <c r="X223" s="232">
        <f t="shared" si="3"/>
        <v>10</v>
      </c>
    </row>
    <row r="224" spans="1:24" ht="56" x14ac:dyDescent="0.3">
      <c r="A224" s="232" t="s">
        <v>677</v>
      </c>
      <c r="B224" s="232" t="s">
        <v>674</v>
      </c>
      <c r="C224" s="232">
        <v>0</v>
      </c>
      <c r="D224" s="232">
        <v>0</v>
      </c>
      <c r="E224" s="232">
        <v>0</v>
      </c>
      <c r="F224" s="232">
        <v>0</v>
      </c>
      <c r="G224" s="232">
        <v>0</v>
      </c>
      <c r="H224" s="232">
        <v>1</v>
      </c>
      <c r="I224" s="232">
        <v>0</v>
      </c>
      <c r="J224" s="232">
        <v>1</v>
      </c>
      <c r="K224" s="232"/>
      <c r="L224" s="232" t="s">
        <v>1062</v>
      </c>
      <c r="M224" s="232" t="s">
        <v>1040</v>
      </c>
      <c r="N224" s="232" t="s">
        <v>1438</v>
      </c>
      <c r="O224" s="232" t="s">
        <v>662</v>
      </c>
      <c r="P224" s="232" t="s">
        <v>1032</v>
      </c>
      <c r="Q224" s="232" t="s">
        <v>1032</v>
      </c>
      <c r="R224" s="232"/>
      <c r="S224" s="232" t="s">
        <v>663</v>
      </c>
      <c r="T224" s="232" t="s">
        <v>664</v>
      </c>
      <c r="U224" s="232" t="s">
        <v>1062</v>
      </c>
      <c r="V224" s="232" t="s">
        <v>1040</v>
      </c>
      <c r="W224" s="232" t="s">
        <v>41</v>
      </c>
      <c r="X224" s="232">
        <f t="shared" si="3"/>
        <v>5</v>
      </c>
    </row>
    <row r="225" spans="1:24" ht="56" x14ac:dyDescent="0.3">
      <c r="A225" s="232" t="s">
        <v>678</v>
      </c>
      <c r="B225" s="232" t="s">
        <v>676</v>
      </c>
      <c r="C225" s="232">
        <v>0</v>
      </c>
      <c r="D225" s="232">
        <v>0</v>
      </c>
      <c r="E225" s="232">
        <v>0</v>
      </c>
      <c r="F225" s="232">
        <v>0</v>
      </c>
      <c r="G225" s="232">
        <v>0</v>
      </c>
      <c r="H225" s="232">
        <v>1</v>
      </c>
      <c r="I225" s="232">
        <v>0</v>
      </c>
      <c r="J225" s="232">
        <v>1</v>
      </c>
      <c r="K225" s="232"/>
      <c r="L225" s="232" t="s">
        <v>148</v>
      </c>
      <c r="M225" s="232" t="s">
        <v>1040</v>
      </c>
      <c r="N225" s="232" t="s">
        <v>1438</v>
      </c>
      <c r="O225" s="232" t="s">
        <v>662</v>
      </c>
      <c r="P225" s="232" t="s">
        <v>1032</v>
      </c>
      <c r="Q225" s="232" t="s">
        <v>1032</v>
      </c>
      <c r="R225" s="232"/>
      <c r="S225" s="232" t="s">
        <v>663</v>
      </c>
      <c r="T225" s="232" t="s">
        <v>664</v>
      </c>
      <c r="U225" s="232" t="s">
        <v>40</v>
      </c>
      <c r="V225" s="232" t="s">
        <v>1040</v>
      </c>
      <c r="W225" s="232" t="s">
        <v>41</v>
      </c>
      <c r="X225" s="232">
        <f t="shared" si="3"/>
        <v>5</v>
      </c>
    </row>
    <row r="226" spans="1:24" ht="56" x14ac:dyDescent="0.3">
      <c r="A226" s="232" t="s">
        <v>679</v>
      </c>
      <c r="B226" s="232" t="s">
        <v>1088</v>
      </c>
      <c r="C226" s="232">
        <v>0</v>
      </c>
      <c r="D226" s="232">
        <v>0</v>
      </c>
      <c r="E226" s="232">
        <v>0</v>
      </c>
      <c r="F226" s="232">
        <v>0</v>
      </c>
      <c r="G226" s="232">
        <v>0</v>
      </c>
      <c r="H226" s="232">
        <v>1</v>
      </c>
      <c r="I226" s="232">
        <v>0</v>
      </c>
      <c r="J226" s="232">
        <v>1</v>
      </c>
      <c r="K226" s="232"/>
      <c r="L226" s="232" t="s">
        <v>148</v>
      </c>
      <c r="M226" s="232" t="s">
        <v>1040</v>
      </c>
      <c r="N226" s="232" t="s">
        <v>1438</v>
      </c>
      <c r="O226" s="232" t="s">
        <v>662</v>
      </c>
      <c r="P226" s="232" t="s">
        <v>1032</v>
      </c>
      <c r="Q226" s="232" t="s">
        <v>1032</v>
      </c>
      <c r="R226" s="232"/>
      <c r="S226" s="232" t="s">
        <v>663</v>
      </c>
      <c r="T226" s="232" t="s">
        <v>664</v>
      </c>
      <c r="U226" s="232" t="s">
        <v>40</v>
      </c>
      <c r="V226" s="232" t="s">
        <v>1040</v>
      </c>
      <c r="W226" s="232" t="s">
        <v>41</v>
      </c>
      <c r="X226" s="232">
        <f t="shared" si="3"/>
        <v>5</v>
      </c>
    </row>
    <row r="227" spans="1:24" ht="70" x14ac:dyDescent="0.3">
      <c r="A227" s="232" t="s">
        <v>680</v>
      </c>
      <c r="B227" s="232" t="s">
        <v>1181</v>
      </c>
      <c r="C227" s="232">
        <v>0</v>
      </c>
      <c r="D227" s="232">
        <v>0</v>
      </c>
      <c r="E227" s="232">
        <v>0</v>
      </c>
      <c r="F227" s="232">
        <v>0</v>
      </c>
      <c r="G227" s="232">
        <v>0</v>
      </c>
      <c r="H227" s="232">
        <v>1</v>
      </c>
      <c r="I227" s="232">
        <v>0</v>
      </c>
      <c r="J227" s="232">
        <v>1</v>
      </c>
      <c r="K227" s="232"/>
      <c r="L227" s="232" t="s">
        <v>1062</v>
      </c>
      <c r="M227" s="232" t="s">
        <v>1040</v>
      </c>
      <c r="N227" s="232" t="s">
        <v>1438</v>
      </c>
      <c r="O227" s="232" t="s">
        <v>662</v>
      </c>
      <c r="P227" s="232" t="s">
        <v>1032</v>
      </c>
      <c r="Q227" s="232" t="s">
        <v>1032</v>
      </c>
      <c r="R227" s="232"/>
      <c r="S227" s="232" t="s">
        <v>663</v>
      </c>
      <c r="T227" s="232" t="s">
        <v>664</v>
      </c>
      <c r="U227" s="232" t="s">
        <v>1062</v>
      </c>
      <c r="V227" s="232" t="s">
        <v>1040</v>
      </c>
      <c r="W227" s="232" t="s">
        <v>41</v>
      </c>
      <c r="X227" s="232">
        <f t="shared" si="3"/>
        <v>5</v>
      </c>
    </row>
    <row r="228" spans="1:24" ht="235.5" customHeight="1" x14ac:dyDescent="0.3">
      <c r="A228" s="233" t="s">
        <v>681</v>
      </c>
      <c r="B228" s="232" t="s">
        <v>688</v>
      </c>
      <c r="C228" s="232">
        <v>0</v>
      </c>
      <c r="D228" s="232">
        <v>0</v>
      </c>
      <c r="E228" s="232">
        <v>0</v>
      </c>
      <c r="F228" s="232">
        <v>0</v>
      </c>
      <c r="G228" s="232">
        <v>0</v>
      </c>
      <c r="H228" s="232">
        <v>1</v>
      </c>
      <c r="I228" s="232">
        <v>0</v>
      </c>
      <c r="J228" s="232">
        <v>0</v>
      </c>
      <c r="K228" s="232"/>
      <c r="L228" s="232" t="s">
        <v>148</v>
      </c>
      <c r="M228" s="232" t="s">
        <v>1032</v>
      </c>
      <c r="N228" s="232" t="s">
        <v>1439</v>
      </c>
      <c r="O228" s="232" t="s">
        <v>1032</v>
      </c>
      <c r="P228" s="232" t="s">
        <v>689</v>
      </c>
      <c r="Q228" s="232" t="s">
        <v>690</v>
      </c>
      <c r="R228" s="232"/>
      <c r="S228" s="232" t="s">
        <v>1284</v>
      </c>
      <c r="T228" s="232" t="s">
        <v>1440</v>
      </c>
      <c r="U228" s="232" t="s">
        <v>40</v>
      </c>
      <c r="V228" s="232" t="s">
        <v>1032</v>
      </c>
      <c r="W228" s="232" t="s">
        <v>75</v>
      </c>
      <c r="X228" s="232">
        <f t="shared" si="3"/>
        <v>10</v>
      </c>
    </row>
    <row r="229" spans="1:24" ht="231" customHeight="1" x14ac:dyDescent="0.3">
      <c r="A229" s="233" t="s">
        <v>683</v>
      </c>
      <c r="B229" s="232" t="s">
        <v>692</v>
      </c>
      <c r="C229" s="232">
        <v>0</v>
      </c>
      <c r="D229" s="232">
        <v>0</v>
      </c>
      <c r="E229" s="232">
        <v>0</v>
      </c>
      <c r="F229" s="232">
        <v>0</v>
      </c>
      <c r="G229" s="232">
        <v>0</v>
      </c>
      <c r="H229" s="232">
        <v>1</v>
      </c>
      <c r="I229" s="232">
        <v>0</v>
      </c>
      <c r="J229" s="232">
        <v>0</v>
      </c>
      <c r="K229" s="232"/>
      <c r="L229" s="232" t="s">
        <v>148</v>
      </c>
      <c r="M229" s="232" t="s">
        <v>1032</v>
      </c>
      <c r="N229" s="232" t="s">
        <v>1439</v>
      </c>
      <c r="O229" s="232" t="s">
        <v>1032</v>
      </c>
      <c r="P229" s="232" t="s">
        <v>1032</v>
      </c>
      <c r="Q229" s="232" t="s">
        <v>693</v>
      </c>
      <c r="R229" s="232"/>
      <c r="S229" s="232" t="s">
        <v>1476</v>
      </c>
      <c r="T229" s="232" t="s">
        <v>1441</v>
      </c>
      <c r="U229" s="232" t="s">
        <v>149</v>
      </c>
      <c r="V229" s="232" t="s">
        <v>1032</v>
      </c>
      <c r="W229" s="232" t="s">
        <v>75</v>
      </c>
      <c r="X229" s="232">
        <f t="shared" si="3"/>
        <v>10</v>
      </c>
    </row>
    <row r="230" spans="1:24" ht="196" x14ac:dyDescent="0.3">
      <c r="A230" s="233" t="s">
        <v>687</v>
      </c>
      <c r="B230" s="232" t="s">
        <v>695</v>
      </c>
      <c r="C230" s="232">
        <v>0</v>
      </c>
      <c r="D230" s="232">
        <v>0</v>
      </c>
      <c r="E230" s="232">
        <v>0</v>
      </c>
      <c r="F230" s="232">
        <v>0</v>
      </c>
      <c r="G230" s="232">
        <v>0</v>
      </c>
      <c r="H230" s="232">
        <v>1</v>
      </c>
      <c r="I230" s="232">
        <v>0</v>
      </c>
      <c r="J230" s="232">
        <v>0</v>
      </c>
      <c r="K230" s="232"/>
      <c r="L230" s="232" t="s">
        <v>148</v>
      </c>
      <c r="M230" s="232" t="s">
        <v>1032</v>
      </c>
      <c r="N230" s="232" t="s">
        <v>1439</v>
      </c>
      <c r="O230" s="232" t="s">
        <v>1032</v>
      </c>
      <c r="P230" s="232" t="s">
        <v>696</v>
      </c>
      <c r="Q230" s="232" t="s">
        <v>697</v>
      </c>
      <c r="R230" s="232"/>
      <c r="S230" s="232" t="s">
        <v>1256</v>
      </c>
      <c r="T230" s="232" t="s">
        <v>1442</v>
      </c>
      <c r="U230" s="232" t="s">
        <v>40</v>
      </c>
      <c r="V230" s="232" t="s">
        <v>1032</v>
      </c>
      <c r="W230" s="232" t="s">
        <v>75</v>
      </c>
      <c r="X230" s="232">
        <f t="shared" si="3"/>
        <v>10</v>
      </c>
    </row>
    <row r="231" spans="1:24" ht="228.75" customHeight="1" x14ac:dyDescent="0.3">
      <c r="A231" s="233" t="s">
        <v>691</v>
      </c>
      <c r="B231" s="232" t="s">
        <v>699</v>
      </c>
      <c r="C231" s="232">
        <v>0</v>
      </c>
      <c r="D231" s="232">
        <v>0</v>
      </c>
      <c r="E231" s="232">
        <v>0</v>
      </c>
      <c r="F231" s="232">
        <v>0</v>
      </c>
      <c r="G231" s="232">
        <v>0</v>
      </c>
      <c r="H231" s="232">
        <v>1</v>
      </c>
      <c r="I231" s="232">
        <v>0</v>
      </c>
      <c r="J231" s="232">
        <v>0</v>
      </c>
      <c r="K231" s="232"/>
      <c r="L231" s="232" t="s">
        <v>148</v>
      </c>
      <c r="M231" s="232" t="s">
        <v>1032</v>
      </c>
      <c r="N231" s="232" t="s">
        <v>1439</v>
      </c>
      <c r="O231" s="232" t="s">
        <v>1032</v>
      </c>
      <c r="P231" s="232" t="s">
        <v>1032</v>
      </c>
      <c r="Q231" s="232" t="s">
        <v>693</v>
      </c>
      <c r="R231" s="232"/>
      <c r="S231" s="232" t="s">
        <v>1477</v>
      </c>
      <c r="T231" s="232" t="s">
        <v>1441</v>
      </c>
      <c r="U231" s="232" t="s">
        <v>149</v>
      </c>
      <c r="V231" s="232" t="s">
        <v>1032</v>
      </c>
      <c r="W231" s="232" t="s">
        <v>75</v>
      </c>
      <c r="X231" s="232">
        <f t="shared" si="3"/>
        <v>10</v>
      </c>
    </row>
    <row r="232" spans="1:24" ht="214.5" customHeight="1" x14ac:dyDescent="0.3">
      <c r="A232" s="233" t="s">
        <v>694</v>
      </c>
      <c r="B232" s="232" t="s">
        <v>1617</v>
      </c>
      <c r="C232" s="232">
        <v>0</v>
      </c>
      <c r="D232" s="232">
        <v>0</v>
      </c>
      <c r="E232" s="232">
        <v>0</v>
      </c>
      <c r="F232" s="232">
        <v>0</v>
      </c>
      <c r="G232" s="232">
        <v>0</v>
      </c>
      <c r="H232" s="232">
        <v>1</v>
      </c>
      <c r="I232" s="232">
        <v>0</v>
      </c>
      <c r="J232" s="232">
        <v>0</v>
      </c>
      <c r="K232" s="232"/>
      <c r="L232" s="232" t="s">
        <v>148</v>
      </c>
      <c r="M232" s="232" t="s">
        <v>1032</v>
      </c>
      <c r="N232" s="232" t="s">
        <v>1439</v>
      </c>
      <c r="O232" s="232" t="s">
        <v>1032</v>
      </c>
      <c r="P232" s="232" t="s">
        <v>1032</v>
      </c>
      <c r="Q232" s="232" t="s">
        <v>701</v>
      </c>
      <c r="R232" s="232" t="s">
        <v>1615</v>
      </c>
      <c r="S232" s="232" t="s">
        <v>702</v>
      </c>
      <c r="T232" s="232" t="s">
        <v>1443</v>
      </c>
      <c r="U232" s="232" t="s">
        <v>40</v>
      </c>
      <c r="V232" s="232" t="s">
        <v>1032</v>
      </c>
      <c r="W232" s="232" t="s">
        <v>75</v>
      </c>
      <c r="X232" s="232">
        <f t="shared" si="3"/>
        <v>10</v>
      </c>
    </row>
    <row r="233" spans="1:24" ht="90" customHeight="1" x14ac:dyDescent="0.3">
      <c r="A233" s="233" t="s">
        <v>698</v>
      </c>
      <c r="B233" s="232" t="s">
        <v>1182</v>
      </c>
      <c r="C233" s="232">
        <v>0</v>
      </c>
      <c r="D233" s="232">
        <v>0</v>
      </c>
      <c r="E233" s="232">
        <v>0</v>
      </c>
      <c r="F233" s="232">
        <v>0</v>
      </c>
      <c r="G233" s="232">
        <v>0</v>
      </c>
      <c r="H233" s="232">
        <v>1</v>
      </c>
      <c r="I233" s="232">
        <v>0</v>
      </c>
      <c r="J233" s="232">
        <v>0</v>
      </c>
      <c r="K233" s="232"/>
      <c r="L233" s="232" t="s">
        <v>148</v>
      </c>
      <c r="M233" s="232" t="s">
        <v>1032</v>
      </c>
      <c r="N233" s="232" t="s">
        <v>1439</v>
      </c>
      <c r="O233" s="232" t="s">
        <v>1032</v>
      </c>
      <c r="P233" s="232" t="s">
        <v>413</v>
      </c>
      <c r="Q233" s="232" t="s">
        <v>414</v>
      </c>
      <c r="R233" s="232"/>
      <c r="S233" s="232" t="s">
        <v>1512</v>
      </c>
      <c r="T233" s="232" t="s">
        <v>415</v>
      </c>
      <c r="U233" s="232" t="s">
        <v>40</v>
      </c>
      <c r="V233" s="232" t="s">
        <v>1032</v>
      </c>
      <c r="W233" s="232" t="s">
        <v>75</v>
      </c>
      <c r="X233" s="232">
        <f t="shared" si="3"/>
        <v>10</v>
      </c>
    </row>
    <row r="234" spans="1:24" ht="140" x14ac:dyDescent="0.3">
      <c r="A234" s="233" t="s">
        <v>700</v>
      </c>
      <c r="B234" s="232" t="s">
        <v>705</v>
      </c>
      <c r="C234" s="232">
        <v>0</v>
      </c>
      <c r="D234" s="232">
        <v>0</v>
      </c>
      <c r="E234" s="232">
        <v>0</v>
      </c>
      <c r="F234" s="232">
        <v>0</v>
      </c>
      <c r="G234" s="232">
        <v>0</v>
      </c>
      <c r="H234" s="232">
        <v>1</v>
      </c>
      <c r="I234" s="232">
        <v>0</v>
      </c>
      <c r="J234" s="232">
        <v>0</v>
      </c>
      <c r="K234" s="232"/>
      <c r="L234" s="232" t="s">
        <v>148</v>
      </c>
      <c r="M234" s="232" t="s">
        <v>1032</v>
      </c>
      <c r="N234" s="232" t="s">
        <v>1439</v>
      </c>
      <c r="O234" s="232" t="s">
        <v>1032</v>
      </c>
      <c r="P234" s="232" t="s">
        <v>706</v>
      </c>
      <c r="Q234" s="232" t="s">
        <v>707</v>
      </c>
      <c r="R234" s="232"/>
      <c r="S234" s="232" t="s">
        <v>1444</v>
      </c>
      <c r="T234" s="232" t="s">
        <v>708</v>
      </c>
      <c r="U234" s="232" t="s">
        <v>40</v>
      </c>
      <c r="V234" s="232" t="s">
        <v>1032</v>
      </c>
      <c r="W234" s="232" t="s">
        <v>75</v>
      </c>
      <c r="X234" s="232">
        <f t="shared" si="3"/>
        <v>10</v>
      </c>
    </row>
    <row r="235" spans="1:24" ht="126" x14ac:dyDescent="0.3">
      <c r="A235" s="233" t="s">
        <v>703</v>
      </c>
      <c r="B235" s="232" t="s">
        <v>710</v>
      </c>
      <c r="C235" s="232">
        <v>0</v>
      </c>
      <c r="D235" s="232">
        <v>0</v>
      </c>
      <c r="E235" s="232">
        <v>0</v>
      </c>
      <c r="F235" s="232">
        <v>0</v>
      </c>
      <c r="G235" s="232">
        <v>0</v>
      </c>
      <c r="H235" s="232">
        <v>1</v>
      </c>
      <c r="I235" s="232">
        <v>0</v>
      </c>
      <c r="J235" s="232">
        <v>0</v>
      </c>
      <c r="K235" s="232"/>
      <c r="L235" s="232" t="s">
        <v>1062</v>
      </c>
      <c r="M235" s="232" t="s">
        <v>1032</v>
      </c>
      <c r="N235" s="232" t="s">
        <v>1439</v>
      </c>
      <c r="O235" s="232" t="s">
        <v>711</v>
      </c>
      <c r="P235" s="232" t="s">
        <v>1032</v>
      </c>
      <c r="Q235" s="232" t="s">
        <v>1032</v>
      </c>
      <c r="R235" s="232"/>
      <c r="S235" s="232" t="s">
        <v>1445</v>
      </c>
      <c r="T235" s="232" t="s">
        <v>712</v>
      </c>
      <c r="U235" s="232" t="s">
        <v>1062</v>
      </c>
      <c r="V235" s="232" t="s">
        <v>1032</v>
      </c>
      <c r="W235" s="232" t="s">
        <v>75</v>
      </c>
      <c r="X235" s="232">
        <f t="shared" si="3"/>
        <v>10</v>
      </c>
    </row>
    <row r="236" spans="1:24" ht="168" x14ac:dyDescent="0.3">
      <c r="A236" s="233" t="s">
        <v>704</v>
      </c>
      <c r="B236" s="232" t="s">
        <v>1291</v>
      </c>
      <c r="C236" s="232">
        <v>0</v>
      </c>
      <c r="D236" s="232">
        <v>0</v>
      </c>
      <c r="E236" s="232">
        <v>0</v>
      </c>
      <c r="F236" s="232">
        <v>0</v>
      </c>
      <c r="G236" s="232">
        <v>0</v>
      </c>
      <c r="H236" s="232">
        <v>1</v>
      </c>
      <c r="I236" s="232">
        <v>0</v>
      </c>
      <c r="J236" s="232">
        <v>0</v>
      </c>
      <c r="K236" s="232"/>
      <c r="L236" s="232" t="s">
        <v>1062</v>
      </c>
      <c r="M236" s="232" t="s">
        <v>1032</v>
      </c>
      <c r="N236" s="232" t="s">
        <v>1439</v>
      </c>
      <c r="O236" s="232" t="s">
        <v>682</v>
      </c>
      <c r="P236" s="232" t="s">
        <v>1032</v>
      </c>
      <c r="Q236" s="232" t="s">
        <v>1032</v>
      </c>
      <c r="R236" s="232"/>
      <c r="S236" s="232" t="s">
        <v>1446</v>
      </c>
      <c r="T236" s="232" t="s">
        <v>1447</v>
      </c>
      <c r="U236" s="232" t="s">
        <v>1062</v>
      </c>
      <c r="V236" s="232" t="s">
        <v>1032</v>
      </c>
      <c r="W236" s="232" t="s">
        <v>41</v>
      </c>
      <c r="X236" s="232">
        <f t="shared" si="3"/>
        <v>5</v>
      </c>
    </row>
    <row r="237" spans="1:24" ht="196" x14ac:dyDescent="0.3">
      <c r="A237" s="233" t="s">
        <v>709</v>
      </c>
      <c r="B237" s="232" t="s">
        <v>684</v>
      </c>
      <c r="C237" s="232">
        <v>0</v>
      </c>
      <c r="D237" s="232">
        <v>0</v>
      </c>
      <c r="E237" s="232">
        <v>0</v>
      </c>
      <c r="F237" s="232">
        <v>0</v>
      </c>
      <c r="G237" s="232">
        <v>0</v>
      </c>
      <c r="H237" s="232">
        <v>1</v>
      </c>
      <c r="I237" s="232">
        <v>0</v>
      </c>
      <c r="J237" s="232">
        <v>0</v>
      </c>
      <c r="K237" s="232"/>
      <c r="L237" s="232" t="s">
        <v>148</v>
      </c>
      <c r="M237" s="232" t="s">
        <v>1032</v>
      </c>
      <c r="N237" s="232" t="s">
        <v>1439</v>
      </c>
      <c r="O237" s="232" t="s">
        <v>1032</v>
      </c>
      <c r="P237" s="232" t="s">
        <v>685</v>
      </c>
      <c r="Q237" s="232" t="s">
        <v>686</v>
      </c>
      <c r="R237" s="232"/>
      <c r="S237" s="232" t="s">
        <v>1448</v>
      </c>
      <c r="T237" s="232" t="s">
        <v>1285</v>
      </c>
      <c r="U237" s="232" t="s">
        <v>40</v>
      </c>
      <c r="V237" s="232" t="s">
        <v>1032</v>
      </c>
      <c r="W237" s="232" t="s">
        <v>41</v>
      </c>
      <c r="X237" s="232">
        <f t="shared" si="3"/>
        <v>5</v>
      </c>
    </row>
    <row r="238" spans="1:24" ht="14" x14ac:dyDescent="0.3">
      <c r="A238" s="233" t="s">
        <v>913</v>
      </c>
      <c r="B238" s="232" t="s">
        <v>1257</v>
      </c>
      <c r="C238" s="232">
        <v>0</v>
      </c>
      <c r="D238" s="232">
        <v>0</v>
      </c>
      <c r="E238" s="232">
        <v>0</v>
      </c>
      <c r="F238" s="232">
        <v>0</v>
      </c>
      <c r="G238" s="232">
        <v>0</v>
      </c>
      <c r="H238" s="232">
        <v>0</v>
      </c>
      <c r="I238" s="232">
        <v>0</v>
      </c>
      <c r="J238" s="232">
        <v>1</v>
      </c>
      <c r="K238" s="232" t="s">
        <v>22</v>
      </c>
      <c r="L238" s="232" t="s">
        <v>1062</v>
      </c>
      <c r="M238" s="232" t="s">
        <v>1032</v>
      </c>
      <c r="N238" s="232" t="s">
        <v>1032</v>
      </c>
      <c r="O238" s="232" t="s">
        <v>1032</v>
      </c>
      <c r="P238" s="232" t="s">
        <v>1032</v>
      </c>
      <c r="Q238" s="232" t="s">
        <v>1032</v>
      </c>
      <c r="R238" s="232"/>
      <c r="S238" s="232" t="s">
        <v>1032</v>
      </c>
      <c r="T238" s="232" t="s">
        <v>1032</v>
      </c>
      <c r="U238" s="232" t="s">
        <v>1062</v>
      </c>
      <c r="V238" s="232" t="s">
        <v>1032</v>
      </c>
      <c r="W238" s="232" t="s">
        <v>1032</v>
      </c>
      <c r="X238" s="232">
        <f t="shared" si="3"/>
        <v>10</v>
      </c>
    </row>
    <row r="239" spans="1:24" ht="28" x14ac:dyDescent="0.3">
      <c r="A239" s="233" t="s">
        <v>914</v>
      </c>
      <c r="B239" s="232" t="s">
        <v>1258</v>
      </c>
      <c r="C239" s="232">
        <v>0</v>
      </c>
      <c r="D239" s="232">
        <v>0</v>
      </c>
      <c r="E239" s="232">
        <v>0</v>
      </c>
      <c r="F239" s="232">
        <v>0</v>
      </c>
      <c r="G239" s="232">
        <v>0</v>
      </c>
      <c r="H239" s="232">
        <v>0</v>
      </c>
      <c r="I239" s="232">
        <v>0</v>
      </c>
      <c r="J239" s="232">
        <v>1</v>
      </c>
      <c r="K239" s="232" t="s">
        <v>22</v>
      </c>
      <c r="L239" s="232" t="s">
        <v>1062</v>
      </c>
      <c r="M239" s="232" t="s">
        <v>1032</v>
      </c>
      <c r="N239" s="232" t="s">
        <v>1032</v>
      </c>
      <c r="O239" s="232" t="s">
        <v>1032</v>
      </c>
      <c r="P239" s="232" t="s">
        <v>1032</v>
      </c>
      <c r="Q239" s="232" t="s">
        <v>1032</v>
      </c>
      <c r="R239" s="232"/>
      <c r="S239" s="232" t="s">
        <v>1529</v>
      </c>
      <c r="T239" s="232" t="s">
        <v>1529</v>
      </c>
      <c r="U239" s="232" t="s">
        <v>1062</v>
      </c>
      <c r="V239" s="232" t="s">
        <v>1032</v>
      </c>
      <c r="W239" s="232" t="s">
        <v>1032</v>
      </c>
      <c r="X239" s="232">
        <f t="shared" si="3"/>
        <v>10</v>
      </c>
    </row>
    <row r="240" spans="1:24" ht="28" x14ac:dyDescent="0.3">
      <c r="A240" s="233" t="s">
        <v>915</v>
      </c>
      <c r="B240" s="232" t="s">
        <v>1259</v>
      </c>
      <c r="C240" s="232">
        <v>0</v>
      </c>
      <c r="D240" s="232">
        <v>0</v>
      </c>
      <c r="E240" s="232">
        <v>0</v>
      </c>
      <c r="F240" s="232">
        <v>0</v>
      </c>
      <c r="G240" s="232">
        <v>0</v>
      </c>
      <c r="H240" s="232">
        <v>0</v>
      </c>
      <c r="I240" s="232">
        <v>0</v>
      </c>
      <c r="J240" s="232">
        <v>1</v>
      </c>
      <c r="K240" s="232" t="s">
        <v>22</v>
      </c>
      <c r="L240" s="232" t="s">
        <v>1062</v>
      </c>
      <c r="M240" s="232" t="s">
        <v>1032</v>
      </c>
      <c r="N240" s="232" t="s">
        <v>1032</v>
      </c>
      <c r="O240" s="232" t="s">
        <v>1032</v>
      </c>
      <c r="P240" s="232" t="s">
        <v>1032</v>
      </c>
      <c r="Q240" s="232" t="s">
        <v>1032</v>
      </c>
      <c r="R240" s="232"/>
      <c r="S240" s="232" t="s">
        <v>1032</v>
      </c>
      <c r="T240" s="232" t="s">
        <v>1032</v>
      </c>
      <c r="U240" s="232" t="s">
        <v>1062</v>
      </c>
      <c r="V240" s="232" t="s">
        <v>1032</v>
      </c>
      <c r="W240" s="232" t="s">
        <v>1032</v>
      </c>
      <c r="X240" s="232">
        <f t="shared" si="3"/>
        <v>10</v>
      </c>
    </row>
    <row r="241" spans="1:24" ht="28" x14ac:dyDescent="0.3">
      <c r="A241" s="233" t="s">
        <v>916</v>
      </c>
      <c r="B241" s="232" t="s">
        <v>1260</v>
      </c>
      <c r="C241" s="232">
        <v>0</v>
      </c>
      <c r="D241" s="232">
        <v>0</v>
      </c>
      <c r="E241" s="232">
        <v>0</v>
      </c>
      <c r="F241" s="232">
        <v>0</v>
      </c>
      <c r="G241" s="232">
        <v>0</v>
      </c>
      <c r="H241" s="232">
        <v>0</v>
      </c>
      <c r="I241" s="232">
        <v>0</v>
      </c>
      <c r="J241" s="232">
        <v>1</v>
      </c>
      <c r="K241" s="232" t="s">
        <v>22</v>
      </c>
      <c r="L241" s="232" t="s">
        <v>1062</v>
      </c>
      <c r="M241" s="232" t="s">
        <v>1032</v>
      </c>
      <c r="N241" s="232" t="s">
        <v>1032</v>
      </c>
      <c r="O241" s="232" t="s">
        <v>1032</v>
      </c>
      <c r="P241" s="232" t="s">
        <v>1032</v>
      </c>
      <c r="Q241" s="232" t="s">
        <v>1032</v>
      </c>
      <c r="R241" s="232"/>
      <c r="S241" s="232" t="s">
        <v>1032</v>
      </c>
      <c r="T241" s="232" t="s">
        <v>1032</v>
      </c>
      <c r="U241" s="232" t="s">
        <v>1062</v>
      </c>
      <c r="V241" s="232" t="s">
        <v>1032</v>
      </c>
      <c r="W241" s="232" t="s">
        <v>1032</v>
      </c>
      <c r="X241" s="232">
        <f t="shared" si="3"/>
        <v>10</v>
      </c>
    </row>
    <row r="242" spans="1:24" ht="28" x14ac:dyDescent="0.3">
      <c r="A242" s="233" t="s">
        <v>917</v>
      </c>
      <c r="B242" s="232" t="s">
        <v>713</v>
      </c>
      <c r="C242" s="232">
        <v>0</v>
      </c>
      <c r="D242" s="232">
        <v>0</v>
      </c>
      <c r="E242" s="232">
        <v>0</v>
      </c>
      <c r="F242" s="232">
        <v>0</v>
      </c>
      <c r="G242" s="232">
        <v>0</v>
      </c>
      <c r="H242" s="232">
        <v>0</v>
      </c>
      <c r="I242" s="232">
        <v>0</v>
      </c>
      <c r="J242" s="232">
        <v>1</v>
      </c>
      <c r="K242" s="232"/>
      <c r="L242" s="232" t="s">
        <v>1062</v>
      </c>
      <c r="M242" s="232" t="s">
        <v>1032</v>
      </c>
      <c r="N242" s="232" t="s">
        <v>1032</v>
      </c>
      <c r="O242" s="232" t="s">
        <v>1032</v>
      </c>
      <c r="P242" s="232" t="s">
        <v>1032</v>
      </c>
      <c r="Q242" s="232" t="s">
        <v>1032</v>
      </c>
      <c r="R242" s="232"/>
      <c r="S242" s="232" t="s">
        <v>1032</v>
      </c>
      <c r="T242" s="232" t="s">
        <v>1032</v>
      </c>
      <c r="U242" s="232" t="s">
        <v>1062</v>
      </c>
      <c r="V242" s="232" t="s">
        <v>1032</v>
      </c>
      <c r="W242" s="232" t="s">
        <v>75</v>
      </c>
      <c r="X242" s="232">
        <f t="shared" si="3"/>
        <v>10</v>
      </c>
    </row>
    <row r="243" spans="1:24" ht="70" x14ac:dyDescent="0.3">
      <c r="A243" s="233" t="s">
        <v>714</v>
      </c>
      <c r="B243" s="232" t="s">
        <v>1183</v>
      </c>
      <c r="C243" s="232">
        <v>0</v>
      </c>
      <c r="D243" s="232">
        <v>0</v>
      </c>
      <c r="E243" s="232">
        <v>0</v>
      </c>
      <c r="F243" s="232">
        <v>0</v>
      </c>
      <c r="G243" s="232">
        <v>0</v>
      </c>
      <c r="H243" s="232">
        <v>0</v>
      </c>
      <c r="I243" s="232">
        <v>0</v>
      </c>
      <c r="J243" s="232">
        <v>1</v>
      </c>
      <c r="K243" s="232"/>
      <c r="L243" s="232" t="s">
        <v>9</v>
      </c>
      <c r="M243" s="232" t="s">
        <v>1032</v>
      </c>
      <c r="N243" s="232" t="s">
        <v>1032</v>
      </c>
      <c r="O243" s="232" t="s">
        <v>1032</v>
      </c>
      <c r="P243" s="232" t="s">
        <v>1032</v>
      </c>
      <c r="Q243" s="232" t="s">
        <v>718</v>
      </c>
      <c r="R243" s="232"/>
      <c r="S243" s="232" t="s">
        <v>1529</v>
      </c>
      <c r="T243" s="232" t="s">
        <v>1529</v>
      </c>
      <c r="U243" s="232" t="s">
        <v>149</v>
      </c>
      <c r="V243" s="232" t="s">
        <v>1032</v>
      </c>
      <c r="W243" s="232" t="s">
        <v>46</v>
      </c>
      <c r="X243" s="232">
        <f t="shared" si="3"/>
        <v>20</v>
      </c>
    </row>
    <row r="244" spans="1:24" ht="15.75" customHeight="1" x14ac:dyDescent="0.3">
      <c r="A244" s="233" t="s">
        <v>717</v>
      </c>
      <c r="B244" s="232" t="s">
        <v>1076</v>
      </c>
      <c r="C244" s="232">
        <v>0</v>
      </c>
      <c r="D244" s="232">
        <v>0</v>
      </c>
      <c r="E244" s="232">
        <v>0</v>
      </c>
      <c r="F244" s="232">
        <v>0</v>
      </c>
      <c r="G244" s="232">
        <v>0</v>
      </c>
      <c r="H244" s="232">
        <v>0</v>
      </c>
      <c r="I244" s="232">
        <v>0</v>
      </c>
      <c r="J244" s="232">
        <v>1</v>
      </c>
      <c r="K244" s="232"/>
      <c r="L244" s="232" t="s">
        <v>1062</v>
      </c>
      <c r="M244" s="232" t="s">
        <v>1032</v>
      </c>
      <c r="N244" s="232" t="s">
        <v>1032</v>
      </c>
      <c r="O244" s="232" t="s">
        <v>1261</v>
      </c>
      <c r="P244" s="232" t="s">
        <v>1032</v>
      </c>
      <c r="Q244" s="232" t="s">
        <v>1032</v>
      </c>
      <c r="R244" s="232"/>
      <c r="S244" s="232" t="s">
        <v>1032</v>
      </c>
      <c r="T244" s="232" t="s">
        <v>1032</v>
      </c>
      <c r="U244" s="232" t="s">
        <v>1062</v>
      </c>
      <c r="V244" s="232" t="s">
        <v>1032</v>
      </c>
      <c r="W244" s="232" t="s">
        <v>46</v>
      </c>
      <c r="X244" s="232">
        <f t="shared" si="3"/>
        <v>20</v>
      </c>
    </row>
    <row r="245" spans="1:24" ht="56" x14ac:dyDescent="0.3">
      <c r="A245" s="233" t="s">
        <v>719</v>
      </c>
      <c r="B245" s="232" t="s">
        <v>720</v>
      </c>
      <c r="C245" s="232">
        <v>0</v>
      </c>
      <c r="D245" s="232">
        <v>0</v>
      </c>
      <c r="E245" s="232">
        <v>0</v>
      </c>
      <c r="F245" s="232">
        <v>0</v>
      </c>
      <c r="G245" s="232">
        <v>0</v>
      </c>
      <c r="H245" s="232">
        <v>0</v>
      </c>
      <c r="I245" s="232">
        <v>0</v>
      </c>
      <c r="J245" s="232">
        <v>1</v>
      </c>
      <c r="K245" s="232"/>
      <c r="L245" s="232" t="s">
        <v>9</v>
      </c>
      <c r="M245" s="232" t="s">
        <v>1032</v>
      </c>
      <c r="N245" s="232" t="s">
        <v>1032</v>
      </c>
      <c r="O245" s="232" t="s">
        <v>1032</v>
      </c>
      <c r="P245" s="232" t="s">
        <v>1032</v>
      </c>
      <c r="Q245" s="232" t="s">
        <v>721</v>
      </c>
      <c r="R245" s="232"/>
      <c r="S245" s="232" t="s">
        <v>1032</v>
      </c>
      <c r="T245" s="232" t="s">
        <v>1032</v>
      </c>
      <c r="U245" s="232" t="s">
        <v>149</v>
      </c>
      <c r="V245" s="232" t="s">
        <v>1032</v>
      </c>
      <c r="W245" s="232" t="s">
        <v>41</v>
      </c>
      <c r="X245" s="232">
        <f t="shared" si="3"/>
        <v>5</v>
      </c>
    </row>
    <row r="246" spans="1:24" ht="56" x14ac:dyDescent="0.3">
      <c r="A246" s="233" t="s">
        <v>722</v>
      </c>
      <c r="B246" s="232" t="s">
        <v>715</v>
      </c>
      <c r="C246" s="232">
        <v>0</v>
      </c>
      <c r="D246" s="232">
        <v>0</v>
      </c>
      <c r="E246" s="232">
        <v>0</v>
      </c>
      <c r="F246" s="232">
        <v>0</v>
      </c>
      <c r="G246" s="232">
        <v>0</v>
      </c>
      <c r="H246" s="232">
        <v>0</v>
      </c>
      <c r="I246" s="232">
        <v>0</v>
      </c>
      <c r="J246" s="232">
        <v>1</v>
      </c>
      <c r="K246" s="232"/>
      <c r="L246" s="232" t="s">
        <v>9</v>
      </c>
      <c r="M246" s="232" t="s">
        <v>1032</v>
      </c>
      <c r="N246" s="232" t="s">
        <v>1032</v>
      </c>
      <c r="O246" s="232" t="s">
        <v>716</v>
      </c>
      <c r="P246" s="232" t="s">
        <v>1032</v>
      </c>
      <c r="Q246" s="232" t="s">
        <v>1032</v>
      </c>
      <c r="R246" s="232"/>
      <c r="S246" s="232" t="s">
        <v>1032</v>
      </c>
      <c r="T246" s="232" t="s">
        <v>1032</v>
      </c>
      <c r="U246" s="232" t="s">
        <v>40</v>
      </c>
      <c r="V246" s="232" t="s">
        <v>1032</v>
      </c>
      <c r="W246" s="232" t="s">
        <v>41</v>
      </c>
      <c r="X246" s="232">
        <f t="shared" si="3"/>
        <v>5</v>
      </c>
    </row>
    <row r="247" spans="1:24" ht="112" x14ac:dyDescent="0.3">
      <c r="A247" s="233" t="s">
        <v>723</v>
      </c>
      <c r="B247" s="232" t="s">
        <v>1077</v>
      </c>
      <c r="C247" s="232">
        <v>0</v>
      </c>
      <c r="D247" s="232">
        <v>0</v>
      </c>
      <c r="E247" s="232">
        <v>0</v>
      </c>
      <c r="F247" s="232">
        <v>0</v>
      </c>
      <c r="G247" s="232">
        <v>0</v>
      </c>
      <c r="H247" s="232">
        <v>0</v>
      </c>
      <c r="I247" s="232">
        <v>0</v>
      </c>
      <c r="J247" s="232">
        <v>1</v>
      </c>
      <c r="K247" s="232"/>
      <c r="L247" s="232" t="s">
        <v>9</v>
      </c>
      <c r="M247" s="232" t="s">
        <v>1032</v>
      </c>
      <c r="N247" s="232" t="s">
        <v>1032</v>
      </c>
      <c r="O247" s="232" t="s">
        <v>1513</v>
      </c>
      <c r="P247" s="232" t="s">
        <v>1032</v>
      </c>
      <c r="Q247" s="232" t="s">
        <v>1032</v>
      </c>
      <c r="R247" s="232" t="s">
        <v>1615</v>
      </c>
      <c r="S247" s="232" t="s">
        <v>1529</v>
      </c>
      <c r="T247" s="232" t="s">
        <v>1529</v>
      </c>
      <c r="U247" s="232" t="s">
        <v>40</v>
      </c>
      <c r="V247" s="232" t="s">
        <v>1032</v>
      </c>
      <c r="W247" s="232" t="s">
        <v>75</v>
      </c>
      <c r="X247" s="232">
        <f t="shared" si="3"/>
        <v>10</v>
      </c>
    </row>
    <row r="248" spans="1:24" ht="84" x14ac:dyDescent="0.3">
      <c r="A248" s="233" t="s">
        <v>724</v>
      </c>
      <c r="B248" s="232" t="s">
        <v>1030</v>
      </c>
      <c r="C248" s="232">
        <v>0</v>
      </c>
      <c r="D248" s="232">
        <v>0</v>
      </c>
      <c r="E248" s="232">
        <v>0</v>
      </c>
      <c r="F248" s="232">
        <v>0</v>
      </c>
      <c r="G248" s="232">
        <v>0</v>
      </c>
      <c r="H248" s="232">
        <v>0</v>
      </c>
      <c r="I248" s="232">
        <v>0</v>
      </c>
      <c r="J248" s="232">
        <v>1</v>
      </c>
      <c r="K248" s="232"/>
      <c r="L248" s="232" t="s">
        <v>9</v>
      </c>
      <c r="M248" s="232" t="s">
        <v>1032</v>
      </c>
      <c r="N248" s="232" t="s">
        <v>1032</v>
      </c>
      <c r="O248" s="232" t="s">
        <v>1032</v>
      </c>
      <c r="P248" s="232" t="s">
        <v>725</v>
      </c>
      <c r="Q248" s="232" t="s">
        <v>79</v>
      </c>
      <c r="R248" s="232"/>
      <c r="S248" s="232" t="s">
        <v>1032</v>
      </c>
      <c r="T248" s="232" t="s">
        <v>1032</v>
      </c>
      <c r="U248" s="232" t="s">
        <v>40</v>
      </c>
      <c r="V248" s="232" t="s">
        <v>1032</v>
      </c>
      <c r="W248" s="232" t="s">
        <v>75</v>
      </c>
      <c r="X248" s="232">
        <f t="shared" si="3"/>
        <v>10</v>
      </c>
    </row>
    <row r="249" spans="1:24" ht="42" x14ac:dyDescent="0.3">
      <c r="A249" s="233" t="s">
        <v>726</v>
      </c>
      <c r="B249" s="232" t="s">
        <v>727</v>
      </c>
      <c r="C249" s="232">
        <v>0</v>
      </c>
      <c r="D249" s="232">
        <v>0</v>
      </c>
      <c r="E249" s="232">
        <v>0</v>
      </c>
      <c r="F249" s="232">
        <v>0</v>
      </c>
      <c r="G249" s="232">
        <v>0</v>
      </c>
      <c r="H249" s="232">
        <v>0</v>
      </c>
      <c r="I249" s="232">
        <v>0</v>
      </c>
      <c r="J249" s="232">
        <v>1</v>
      </c>
      <c r="K249" s="232"/>
      <c r="L249" s="232" t="s">
        <v>9</v>
      </c>
      <c r="M249" s="232" t="s">
        <v>1032</v>
      </c>
      <c r="N249" s="232" t="s">
        <v>1032</v>
      </c>
      <c r="O249" s="232" t="s">
        <v>1032</v>
      </c>
      <c r="P249" s="232" t="s">
        <v>1032</v>
      </c>
      <c r="Q249" s="232" t="s">
        <v>1032</v>
      </c>
      <c r="R249" s="232"/>
      <c r="S249" s="232" t="s">
        <v>1032</v>
      </c>
      <c r="T249" s="232" t="s">
        <v>1032</v>
      </c>
      <c r="U249" s="232" t="s">
        <v>40</v>
      </c>
      <c r="V249" s="232" t="s">
        <v>1032</v>
      </c>
      <c r="W249" s="232" t="s">
        <v>75</v>
      </c>
      <c r="X249" s="232">
        <f t="shared" si="3"/>
        <v>10</v>
      </c>
    </row>
    <row r="250" spans="1:24" ht="42" x14ac:dyDescent="0.3">
      <c r="A250" s="233" t="s">
        <v>728</v>
      </c>
      <c r="B250" s="232" t="s">
        <v>1514</v>
      </c>
      <c r="C250" s="232">
        <v>0</v>
      </c>
      <c r="D250" s="232">
        <v>0</v>
      </c>
      <c r="E250" s="232">
        <v>0</v>
      </c>
      <c r="F250" s="232">
        <v>0</v>
      </c>
      <c r="G250" s="232">
        <v>0</v>
      </c>
      <c r="H250" s="232">
        <v>0</v>
      </c>
      <c r="I250" s="232">
        <v>0</v>
      </c>
      <c r="J250" s="232">
        <v>1</v>
      </c>
      <c r="K250" s="232"/>
      <c r="L250" s="232" t="s">
        <v>9</v>
      </c>
      <c r="M250" s="232" t="s">
        <v>1032</v>
      </c>
      <c r="N250" s="232" t="s">
        <v>1032</v>
      </c>
      <c r="O250" s="232" t="s">
        <v>1032</v>
      </c>
      <c r="P250" s="232" t="s">
        <v>1032</v>
      </c>
      <c r="Q250" s="232" t="s">
        <v>1032</v>
      </c>
      <c r="R250" s="232"/>
      <c r="S250" s="232" t="s">
        <v>1529</v>
      </c>
      <c r="T250" s="232" t="s">
        <v>1529</v>
      </c>
      <c r="U250" s="232" t="s">
        <v>40</v>
      </c>
      <c r="V250" s="232" t="s">
        <v>1032</v>
      </c>
      <c r="W250" s="232" t="s">
        <v>46</v>
      </c>
      <c r="X250" s="232">
        <f t="shared" si="3"/>
        <v>20</v>
      </c>
    </row>
    <row r="251" spans="1:24" ht="84" x14ac:dyDescent="0.3">
      <c r="A251" s="233" t="s">
        <v>732</v>
      </c>
      <c r="B251" s="232" t="s">
        <v>729</v>
      </c>
      <c r="C251" s="232">
        <v>0</v>
      </c>
      <c r="D251" s="232">
        <v>0</v>
      </c>
      <c r="E251" s="232">
        <v>0</v>
      </c>
      <c r="F251" s="232">
        <v>0</v>
      </c>
      <c r="G251" s="232">
        <v>0</v>
      </c>
      <c r="H251" s="232">
        <v>0</v>
      </c>
      <c r="I251" s="232">
        <v>0</v>
      </c>
      <c r="J251" s="232">
        <v>1</v>
      </c>
      <c r="K251" s="232"/>
      <c r="L251" s="232" t="s">
        <v>9</v>
      </c>
      <c r="M251" s="232" t="s">
        <v>1032</v>
      </c>
      <c r="N251" s="232" t="s">
        <v>1032</v>
      </c>
      <c r="O251" s="232" t="s">
        <v>1032</v>
      </c>
      <c r="P251" s="232" t="s">
        <v>730</v>
      </c>
      <c r="Q251" s="232" t="s">
        <v>731</v>
      </c>
      <c r="R251" s="232"/>
      <c r="S251" s="232" t="s">
        <v>1032</v>
      </c>
      <c r="T251" s="232" t="s">
        <v>1032</v>
      </c>
      <c r="U251" s="232" t="s">
        <v>40</v>
      </c>
      <c r="V251" s="232" t="s">
        <v>1032</v>
      </c>
      <c r="W251" s="232" t="s">
        <v>41</v>
      </c>
      <c r="X251" s="232">
        <f t="shared" si="3"/>
        <v>5</v>
      </c>
    </row>
    <row r="252" spans="1:24" ht="28" x14ac:dyDescent="0.3">
      <c r="A252" s="233" t="s">
        <v>733</v>
      </c>
      <c r="B252" s="232" t="s">
        <v>734</v>
      </c>
      <c r="C252" s="232">
        <v>0</v>
      </c>
      <c r="D252" s="232">
        <v>0</v>
      </c>
      <c r="E252" s="232">
        <v>0</v>
      </c>
      <c r="F252" s="232">
        <v>0</v>
      </c>
      <c r="G252" s="232">
        <v>0</v>
      </c>
      <c r="H252" s="232">
        <v>0</v>
      </c>
      <c r="I252" s="232">
        <v>0</v>
      </c>
      <c r="J252" s="232">
        <v>1</v>
      </c>
      <c r="K252" s="232"/>
      <c r="L252" s="232" t="s">
        <v>9</v>
      </c>
      <c r="M252" s="232" t="s">
        <v>1032</v>
      </c>
      <c r="N252" s="232" t="s">
        <v>1032</v>
      </c>
      <c r="O252" s="232" t="s">
        <v>1032</v>
      </c>
      <c r="P252" s="232" t="s">
        <v>443</v>
      </c>
      <c r="Q252" s="232" t="s">
        <v>735</v>
      </c>
      <c r="R252" s="232"/>
      <c r="S252" s="232" t="s">
        <v>1529</v>
      </c>
      <c r="T252" s="232" t="s">
        <v>1529</v>
      </c>
      <c r="U252" s="232" t="s">
        <v>40</v>
      </c>
      <c r="V252" s="232" t="s">
        <v>1032</v>
      </c>
      <c r="W252" s="232" t="s">
        <v>75</v>
      </c>
      <c r="X252" s="232">
        <f t="shared" si="3"/>
        <v>10</v>
      </c>
    </row>
    <row r="253" spans="1:24" ht="42" x14ac:dyDescent="0.3">
      <c r="A253" s="233" t="s">
        <v>736</v>
      </c>
      <c r="B253" s="232" t="s">
        <v>737</v>
      </c>
      <c r="C253" s="232">
        <v>0</v>
      </c>
      <c r="D253" s="232">
        <v>0</v>
      </c>
      <c r="E253" s="232">
        <v>0</v>
      </c>
      <c r="F253" s="232">
        <v>0</v>
      </c>
      <c r="G253" s="232">
        <v>0</v>
      </c>
      <c r="H253" s="232">
        <v>0</v>
      </c>
      <c r="I253" s="232">
        <v>0</v>
      </c>
      <c r="J253" s="232">
        <v>1</v>
      </c>
      <c r="K253" s="232"/>
      <c r="L253" s="232" t="s">
        <v>9</v>
      </c>
      <c r="M253" s="232" t="s">
        <v>1032</v>
      </c>
      <c r="N253" s="232" t="s">
        <v>1032</v>
      </c>
      <c r="O253" s="232" t="s">
        <v>1032</v>
      </c>
      <c r="P253" s="232" t="s">
        <v>1032</v>
      </c>
      <c r="Q253" s="232" t="s">
        <v>1032</v>
      </c>
      <c r="R253" s="232"/>
      <c r="S253" s="232" t="s">
        <v>1032</v>
      </c>
      <c r="T253" s="232" t="s">
        <v>1032</v>
      </c>
      <c r="U253" s="232" t="s">
        <v>40</v>
      </c>
      <c r="V253" s="232" t="s">
        <v>1032</v>
      </c>
      <c r="W253" s="232" t="s">
        <v>41</v>
      </c>
      <c r="X253" s="232">
        <f t="shared" si="3"/>
        <v>5</v>
      </c>
    </row>
    <row r="254" spans="1:24" ht="42" x14ac:dyDescent="0.3">
      <c r="A254" s="233" t="s">
        <v>738</v>
      </c>
      <c r="B254" s="232" t="s">
        <v>1557</v>
      </c>
      <c r="C254" s="232">
        <v>0</v>
      </c>
      <c r="D254" s="232">
        <v>0</v>
      </c>
      <c r="E254" s="232">
        <v>0</v>
      </c>
      <c r="F254" s="232">
        <v>0</v>
      </c>
      <c r="G254" s="232">
        <v>0</v>
      </c>
      <c r="H254" s="232">
        <v>0</v>
      </c>
      <c r="I254" s="232">
        <v>0</v>
      </c>
      <c r="J254" s="232">
        <v>1</v>
      </c>
      <c r="K254" s="232"/>
      <c r="L254" s="232" t="s">
        <v>9</v>
      </c>
      <c r="M254" s="232" t="s">
        <v>1032</v>
      </c>
      <c r="N254" s="232" t="s">
        <v>1032</v>
      </c>
      <c r="O254" s="232" t="s">
        <v>1032</v>
      </c>
      <c r="P254" s="232" t="s">
        <v>1032</v>
      </c>
      <c r="Q254" s="232" t="s">
        <v>744</v>
      </c>
      <c r="R254" s="232"/>
      <c r="S254" s="232" t="s">
        <v>1529</v>
      </c>
      <c r="T254" s="232" t="s">
        <v>1529</v>
      </c>
      <c r="U254" s="232" t="s">
        <v>149</v>
      </c>
      <c r="V254" s="232" t="s">
        <v>1032</v>
      </c>
      <c r="W254" s="232" t="s">
        <v>46</v>
      </c>
      <c r="X254" s="232">
        <f t="shared" si="3"/>
        <v>20</v>
      </c>
    </row>
    <row r="255" spans="1:24" ht="42" x14ac:dyDescent="0.3">
      <c r="A255" s="233" t="s">
        <v>740</v>
      </c>
      <c r="B255" s="232" t="s">
        <v>1558</v>
      </c>
      <c r="C255" s="232">
        <v>0</v>
      </c>
      <c r="D255" s="232">
        <v>0</v>
      </c>
      <c r="E255" s="232">
        <v>0</v>
      </c>
      <c r="F255" s="232">
        <v>0</v>
      </c>
      <c r="G255" s="232">
        <v>0</v>
      </c>
      <c r="H255" s="232">
        <v>0</v>
      </c>
      <c r="I255" s="232">
        <v>0</v>
      </c>
      <c r="J255" s="232">
        <v>1</v>
      </c>
      <c r="K255" s="232"/>
      <c r="L255" s="232" t="s">
        <v>9</v>
      </c>
      <c r="M255" s="232" t="s">
        <v>1032</v>
      </c>
      <c r="N255" s="232" t="s">
        <v>1032</v>
      </c>
      <c r="O255" s="232" t="s">
        <v>1032</v>
      </c>
      <c r="P255" s="232" t="s">
        <v>1032</v>
      </c>
      <c r="Q255" s="232" t="s">
        <v>746</v>
      </c>
      <c r="R255" s="232"/>
      <c r="S255" s="232" t="s">
        <v>1032</v>
      </c>
      <c r="T255" s="232" t="s">
        <v>1032</v>
      </c>
      <c r="U255" s="232" t="s">
        <v>149</v>
      </c>
      <c r="V255" s="232" t="s">
        <v>1032</v>
      </c>
      <c r="W255" s="232" t="s">
        <v>46</v>
      </c>
      <c r="X255" s="232">
        <f t="shared" si="3"/>
        <v>20</v>
      </c>
    </row>
    <row r="256" spans="1:24" ht="70" x14ac:dyDescent="0.3">
      <c r="A256" s="233" t="s">
        <v>743</v>
      </c>
      <c r="B256" s="232" t="s">
        <v>1078</v>
      </c>
      <c r="C256" s="232">
        <v>0</v>
      </c>
      <c r="D256" s="232">
        <v>0</v>
      </c>
      <c r="E256" s="232">
        <v>0</v>
      </c>
      <c r="F256" s="232">
        <v>0</v>
      </c>
      <c r="G256" s="232">
        <v>0</v>
      </c>
      <c r="H256" s="232">
        <v>0</v>
      </c>
      <c r="I256" s="232">
        <v>0</v>
      </c>
      <c r="J256" s="232">
        <v>1</v>
      </c>
      <c r="K256" s="232"/>
      <c r="L256" s="232" t="s">
        <v>9</v>
      </c>
      <c r="M256" s="232" t="s">
        <v>1032</v>
      </c>
      <c r="N256" s="232" t="s">
        <v>1032</v>
      </c>
      <c r="O256" s="232" t="s">
        <v>1032</v>
      </c>
      <c r="P256" s="232" t="s">
        <v>1032</v>
      </c>
      <c r="Q256" s="232" t="s">
        <v>1184</v>
      </c>
      <c r="S256" s="232" t="s">
        <v>1032</v>
      </c>
      <c r="T256" s="232" t="s">
        <v>1032</v>
      </c>
      <c r="U256" s="232" t="s">
        <v>149</v>
      </c>
      <c r="V256" s="232" t="s">
        <v>1032</v>
      </c>
      <c r="W256" s="232" t="s">
        <v>46</v>
      </c>
      <c r="X256" s="232">
        <f t="shared" ref="X256:X318" si="4">IF($W256="Critical Importance",20,IF($W256="Minor Importance",5,10))</f>
        <v>20</v>
      </c>
    </row>
    <row r="257" spans="1:24" ht="42" x14ac:dyDescent="0.3">
      <c r="A257" s="233" t="s">
        <v>745</v>
      </c>
      <c r="B257" s="232" t="s">
        <v>1185</v>
      </c>
      <c r="C257" s="232">
        <v>0</v>
      </c>
      <c r="D257" s="232">
        <v>0</v>
      </c>
      <c r="E257" s="232">
        <v>0</v>
      </c>
      <c r="F257" s="232">
        <v>0</v>
      </c>
      <c r="G257" s="232">
        <v>0</v>
      </c>
      <c r="H257" s="232">
        <v>0</v>
      </c>
      <c r="I257" s="232">
        <v>0</v>
      </c>
      <c r="J257" s="232">
        <v>1</v>
      </c>
      <c r="K257" s="232"/>
      <c r="L257" s="232" t="s">
        <v>9</v>
      </c>
      <c r="M257" s="232" t="s">
        <v>1032</v>
      </c>
      <c r="N257" s="232" t="s">
        <v>1032</v>
      </c>
      <c r="O257" s="232" t="s">
        <v>1032</v>
      </c>
      <c r="P257" s="232" t="s">
        <v>1032</v>
      </c>
      <c r="Q257" s="232" t="s">
        <v>739</v>
      </c>
      <c r="R257" s="232"/>
      <c r="S257" s="232" t="s">
        <v>1032</v>
      </c>
      <c r="T257" s="232" t="s">
        <v>1032</v>
      </c>
      <c r="U257" s="232" t="s">
        <v>149</v>
      </c>
      <c r="V257" s="232" t="s">
        <v>1032</v>
      </c>
      <c r="W257" s="232" t="s">
        <v>41</v>
      </c>
      <c r="X257" s="232">
        <f t="shared" si="4"/>
        <v>5</v>
      </c>
    </row>
    <row r="258" spans="1:24" ht="28" x14ac:dyDescent="0.3">
      <c r="A258" s="233" t="s">
        <v>747</v>
      </c>
      <c r="B258" s="232" t="s">
        <v>1029</v>
      </c>
      <c r="C258" s="232">
        <v>0</v>
      </c>
      <c r="D258" s="232">
        <v>0</v>
      </c>
      <c r="E258" s="232">
        <v>0</v>
      </c>
      <c r="F258" s="232">
        <v>0</v>
      </c>
      <c r="G258" s="232">
        <v>0</v>
      </c>
      <c r="H258" s="232">
        <v>0</v>
      </c>
      <c r="I258" s="232">
        <v>0</v>
      </c>
      <c r="J258" s="232">
        <v>1</v>
      </c>
      <c r="K258" s="232"/>
      <c r="L258" s="232" t="s">
        <v>9</v>
      </c>
      <c r="M258" s="232" t="s">
        <v>1032</v>
      </c>
      <c r="N258" s="232" t="s">
        <v>1032</v>
      </c>
      <c r="O258" s="232" t="s">
        <v>1032</v>
      </c>
      <c r="P258" s="232" t="s">
        <v>1032</v>
      </c>
      <c r="Q258" s="232" t="s">
        <v>1032</v>
      </c>
      <c r="R258" s="232"/>
      <c r="S258" s="232" t="s">
        <v>1032</v>
      </c>
      <c r="T258" s="232" t="s">
        <v>1032</v>
      </c>
      <c r="U258" s="232" t="s">
        <v>149</v>
      </c>
      <c r="V258" s="232" t="s">
        <v>1032</v>
      </c>
      <c r="W258" s="232" t="s">
        <v>41</v>
      </c>
      <c r="X258" s="232">
        <f t="shared" si="4"/>
        <v>5</v>
      </c>
    </row>
    <row r="259" spans="1:24" ht="42" x14ac:dyDescent="0.3">
      <c r="A259" s="233" t="s">
        <v>748</v>
      </c>
      <c r="B259" s="232" t="s">
        <v>1186</v>
      </c>
      <c r="C259" s="232">
        <v>0</v>
      </c>
      <c r="D259" s="232">
        <v>0</v>
      </c>
      <c r="E259" s="232">
        <v>0</v>
      </c>
      <c r="F259" s="232">
        <v>0</v>
      </c>
      <c r="G259" s="232">
        <v>0</v>
      </c>
      <c r="H259" s="232">
        <v>0</v>
      </c>
      <c r="I259" s="232">
        <v>0</v>
      </c>
      <c r="J259" s="232">
        <v>1</v>
      </c>
      <c r="K259" s="232"/>
      <c r="L259" s="232" t="s">
        <v>9</v>
      </c>
      <c r="M259" s="232" t="s">
        <v>1032</v>
      </c>
      <c r="N259" s="232" t="s">
        <v>1032</v>
      </c>
      <c r="O259" s="232" t="s">
        <v>1032</v>
      </c>
      <c r="P259" s="232" t="s">
        <v>1032</v>
      </c>
      <c r="Q259" s="232" t="s">
        <v>750</v>
      </c>
      <c r="R259" s="232"/>
      <c r="S259" s="232" t="s">
        <v>1032</v>
      </c>
      <c r="T259" s="232" t="s">
        <v>1032</v>
      </c>
      <c r="U259" s="232" t="s">
        <v>149</v>
      </c>
      <c r="V259" s="232" t="s">
        <v>1032</v>
      </c>
      <c r="W259" s="232" t="s">
        <v>41</v>
      </c>
      <c r="X259" s="232">
        <f t="shared" si="4"/>
        <v>5</v>
      </c>
    </row>
    <row r="260" spans="1:24" ht="42" x14ac:dyDescent="0.3">
      <c r="A260" s="233" t="s">
        <v>749</v>
      </c>
      <c r="B260" s="232" t="s">
        <v>1187</v>
      </c>
      <c r="C260" s="232">
        <v>0</v>
      </c>
      <c r="D260" s="232">
        <v>0</v>
      </c>
      <c r="E260" s="232">
        <v>0</v>
      </c>
      <c r="F260" s="232">
        <v>0</v>
      </c>
      <c r="G260" s="232">
        <v>0</v>
      </c>
      <c r="H260" s="232">
        <v>0</v>
      </c>
      <c r="I260" s="232">
        <v>0</v>
      </c>
      <c r="J260" s="232">
        <v>1</v>
      </c>
      <c r="K260" s="232"/>
      <c r="L260" s="232" t="s">
        <v>9</v>
      </c>
      <c r="M260" s="232" t="s">
        <v>1032</v>
      </c>
      <c r="N260" s="232" t="s">
        <v>1032</v>
      </c>
      <c r="O260" s="232" t="s">
        <v>1032</v>
      </c>
      <c r="P260" s="232" t="s">
        <v>1032</v>
      </c>
      <c r="Q260" s="232" t="s">
        <v>1188</v>
      </c>
      <c r="R260" s="232"/>
      <c r="S260" s="232" t="s">
        <v>1032</v>
      </c>
      <c r="T260" s="232" t="s">
        <v>1032</v>
      </c>
      <c r="U260" s="232" t="s">
        <v>149</v>
      </c>
      <c r="V260" s="232" t="s">
        <v>1032</v>
      </c>
      <c r="W260" s="232" t="s">
        <v>41</v>
      </c>
      <c r="X260" s="232">
        <f t="shared" si="4"/>
        <v>5</v>
      </c>
    </row>
    <row r="261" spans="1:24" ht="42" x14ac:dyDescent="0.3">
      <c r="A261" s="233" t="s">
        <v>751</v>
      </c>
      <c r="B261" s="232" t="s">
        <v>741</v>
      </c>
      <c r="C261" s="232">
        <v>0</v>
      </c>
      <c r="D261" s="232">
        <v>0</v>
      </c>
      <c r="E261" s="232">
        <v>0</v>
      </c>
      <c r="F261" s="232">
        <v>0</v>
      </c>
      <c r="G261" s="232">
        <v>0</v>
      </c>
      <c r="H261" s="232">
        <v>0</v>
      </c>
      <c r="I261" s="232">
        <v>0</v>
      </c>
      <c r="J261" s="232">
        <v>1</v>
      </c>
      <c r="K261" s="232"/>
      <c r="L261" s="232" t="s">
        <v>9</v>
      </c>
      <c r="M261" s="232" t="s">
        <v>1032</v>
      </c>
      <c r="N261" s="232" t="s">
        <v>1032</v>
      </c>
      <c r="O261" s="232" t="s">
        <v>742</v>
      </c>
      <c r="P261" s="232" t="s">
        <v>1032</v>
      </c>
      <c r="Q261" s="232" t="s">
        <v>1032</v>
      </c>
      <c r="R261" s="232"/>
      <c r="S261" s="232" t="s">
        <v>1032</v>
      </c>
      <c r="T261" s="232" t="s">
        <v>1032</v>
      </c>
      <c r="U261" s="232" t="s">
        <v>40</v>
      </c>
      <c r="V261" s="232" t="s">
        <v>1032</v>
      </c>
      <c r="W261" s="232" t="s">
        <v>41</v>
      </c>
      <c r="X261" s="232">
        <f t="shared" si="4"/>
        <v>5</v>
      </c>
    </row>
    <row r="262" spans="1:24" ht="56" x14ac:dyDescent="0.3">
      <c r="A262" s="233" t="s">
        <v>752</v>
      </c>
      <c r="B262" s="232" t="s">
        <v>753</v>
      </c>
      <c r="C262" s="232">
        <v>0</v>
      </c>
      <c r="D262" s="232">
        <v>0</v>
      </c>
      <c r="E262" s="232">
        <v>0</v>
      </c>
      <c r="F262" s="232">
        <v>0</v>
      </c>
      <c r="G262" s="232">
        <v>0</v>
      </c>
      <c r="H262" s="232">
        <v>0</v>
      </c>
      <c r="I262" s="232">
        <v>0</v>
      </c>
      <c r="J262" s="232">
        <v>1</v>
      </c>
      <c r="K262" s="232"/>
      <c r="L262" s="232" t="s">
        <v>9</v>
      </c>
      <c r="M262" s="232" t="s">
        <v>1032</v>
      </c>
      <c r="N262" s="232" t="s">
        <v>1032</v>
      </c>
      <c r="O262" s="232" t="s">
        <v>1032</v>
      </c>
      <c r="P262" s="232" t="s">
        <v>754</v>
      </c>
      <c r="Q262" s="232" t="s">
        <v>755</v>
      </c>
      <c r="R262" s="232"/>
      <c r="S262" s="232" t="s">
        <v>1529</v>
      </c>
      <c r="T262" s="232" t="s">
        <v>1529</v>
      </c>
      <c r="U262" s="232" t="s">
        <v>40</v>
      </c>
      <c r="V262" s="232" t="s">
        <v>1032</v>
      </c>
      <c r="W262" s="232" t="s">
        <v>41</v>
      </c>
      <c r="X262" s="232">
        <f t="shared" si="4"/>
        <v>5</v>
      </c>
    </row>
    <row r="263" spans="1:24" ht="42" x14ac:dyDescent="0.3">
      <c r="A263" s="233" t="s">
        <v>756</v>
      </c>
      <c r="B263" s="232" t="s">
        <v>1189</v>
      </c>
      <c r="C263" s="232">
        <v>0</v>
      </c>
      <c r="D263" s="232">
        <v>0</v>
      </c>
      <c r="E263" s="232">
        <v>0</v>
      </c>
      <c r="F263" s="232">
        <v>0</v>
      </c>
      <c r="G263" s="232">
        <v>0</v>
      </c>
      <c r="H263" s="232">
        <v>0</v>
      </c>
      <c r="I263" s="232">
        <v>0</v>
      </c>
      <c r="J263" s="232">
        <v>1</v>
      </c>
      <c r="K263" s="232"/>
      <c r="L263" s="232" t="s">
        <v>9</v>
      </c>
      <c r="M263" s="232" t="s">
        <v>1032</v>
      </c>
      <c r="N263" s="232" t="s">
        <v>1032</v>
      </c>
      <c r="O263" s="232" t="s">
        <v>1032</v>
      </c>
      <c r="P263" s="232" t="s">
        <v>757</v>
      </c>
      <c r="Q263" s="232" t="s">
        <v>758</v>
      </c>
      <c r="R263" s="232"/>
      <c r="S263" s="232" t="s">
        <v>1032</v>
      </c>
      <c r="T263" s="232" t="s">
        <v>1032</v>
      </c>
      <c r="U263" s="232" t="s">
        <v>40</v>
      </c>
      <c r="V263" s="232" t="s">
        <v>1032</v>
      </c>
      <c r="W263" s="232" t="s">
        <v>41</v>
      </c>
      <c r="X263" s="232">
        <f t="shared" si="4"/>
        <v>5</v>
      </c>
    </row>
    <row r="264" spans="1:24" ht="28" x14ac:dyDescent="0.3">
      <c r="A264" s="233" t="s">
        <v>759</v>
      </c>
      <c r="B264" s="232" t="s">
        <v>529</v>
      </c>
      <c r="C264" s="232">
        <v>0</v>
      </c>
      <c r="D264" s="232">
        <v>0</v>
      </c>
      <c r="E264" s="232">
        <v>0</v>
      </c>
      <c r="F264" s="232">
        <v>0</v>
      </c>
      <c r="G264" s="232">
        <v>0</v>
      </c>
      <c r="H264" s="232">
        <v>0</v>
      </c>
      <c r="I264" s="232">
        <v>0</v>
      </c>
      <c r="J264" s="232">
        <v>1</v>
      </c>
      <c r="K264" s="232"/>
      <c r="L264" s="232" t="s">
        <v>9</v>
      </c>
      <c r="M264" s="232" t="s">
        <v>1032</v>
      </c>
      <c r="N264" s="232" t="s">
        <v>1032</v>
      </c>
      <c r="O264" s="232" t="s">
        <v>1032</v>
      </c>
      <c r="P264" s="232" t="s">
        <v>760</v>
      </c>
      <c r="Q264" s="232" t="s">
        <v>761</v>
      </c>
      <c r="R264" s="232"/>
      <c r="S264" s="232" t="s">
        <v>1032</v>
      </c>
      <c r="T264" s="232" t="s">
        <v>1032</v>
      </c>
      <c r="U264" s="232" t="s">
        <v>40</v>
      </c>
      <c r="V264" s="232" t="s">
        <v>1032</v>
      </c>
      <c r="W264" s="232" t="s">
        <v>75</v>
      </c>
      <c r="X264" s="232">
        <f t="shared" si="4"/>
        <v>10</v>
      </c>
    </row>
    <row r="265" spans="1:24" ht="28" x14ac:dyDescent="0.3">
      <c r="A265" s="233" t="s">
        <v>762</v>
      </c>
      <c r="B265" s="232" t="s">
        <v>763</v>
      </c>
      <c r="C265" s="232">
        <v>0</v>
      </c>
      <c r="D265" s="232">
        <v>0</v>
      </c>
      <c r="E265" s="232">
        <v>0</v>
      </c>
      <c r="F265" s="232">
        <v>0</v>
      </c>
      <c r="G265" s="232">
        <v>0</v>
      </c>
      <c r="H265" s="232">
        <v>0</v>
      </c>
      <c r="I265" s="232">
        <v>0</v>
      </c>
      <c r="J265" s="232">
        <v>1</v>
      </c>
      <c r="K265" s="232"/>
      <c r="L265" s="232" t="s">
        <v>9</v>
      </c>
      <c r="M265" s="232" t="s">
        <v>1032</v>
      </c>
      <c r="N265" s="232" t="s">
        <v>1032</v>
      </c>
      <c r="O265" s="232" t="s">
        <v>1032</v>
      </c>
      <c r="P265" s="232" t="s">
        <v>760</v>
      </c>
      <c r="Q265" s="232" t="s">
        <v>1032</v>
      </c>
      <c r="R265" s="232"/>
      <c r="S265" s="232" t="s">
        <v>1032</v>
      </c>
      <c r="T265" s="232" t="s">
        <v>1032</v>
      </c>
      <c r="U265" s="232" t="s">
        <v>40</v>
      </c>
      <c r="V265" s="232" t="s">
        <v>1032</v>
      </c>
      <c r="W265" s="232" t="s">
        <v>41</v>
      </c>
      <c r="X265" s="232">
        <f t="shared" si="4"/>
        <v>5</v>
      </c>
    </row>
    <row r="266" spans="1:24" ht="42" x14ac:dyDescent="0.3">
      <c r="A266" s="233" t="s">
        <v>764</v>
      </c>
      <c r="B266" s="232" t="s">
        <v>765</v>
      </c>
      <c r="C266" s="232">
        <v>0</v>
      </c>
      <c r="D266" s="232">
        <v>0</v>
      </c>
      <c r="E266" s="232">
        <v>0</v>
      </c>
      <c r="F266" s="232">
        <v>0</v>
      </c>
      <c r="G266" s="232">
        <v>0</v>
      </c>
      <c r="H266" s="232">
        <v>0</v>
      </c>
      <c r="I266" s="232">
        <v>0</v>
      </c>
      <c r="J266" s="232">
        <v>1</v>
      </c>
      <c r="K266" s="232"/>
      <c r="L266" s="232" t="s">
        <v>9</v>
      </c>
      <c r="M266" s="232" t="s">
        <v>1032</v>
      </c>
      <c r="N266" s="232" t="s">
        <v>1032</v>
      </c>
      <c r="O266" s="232" t="s">
        <v>536</v>
      </c>
      <c r="P266" s="232" t="s">
        <v>1032</v>
      </c>
      <c r="Q266" s="232" t="s">
        <v>1032</v>
      </c>
      <c r="R266" s="232"/>
      <c r="S266" s="232" t="s">
        <v>1032</v>
      </c>
      <c r="T266" s="232" t="s">
        <v>1032</v>
      </c>
      <c r="U266" s="232" t="s">
        <v>40</v>
      </c>
      <c r="V266" s="232" t="s">
        <v>1032</v>
      </c>
      <c r="W266" s="232" t="s">
        <v>41</v>
      </c>
      <c r="X266" s="232">
        <f t="shared" si="4"/>
        <v>5</v>
      </c>
    </row>
    <row r="267" spans="1:24" ht="28" x14ac:dyDescent="0.3">
      <c r="A267" s="233" t="s">
        <v>766</v>
      </c>
      <c r="B267" s="232" t="s">
        <v>1079</v>
      </c>
      <c r="C267" s="232">
        <v>0</v>
      </c>
      <c r="D267" s="232">
        <v>0</v>
      </c>
      <c r="E267" s="232">
        <v>0</v>
      </c>
      <c r="F267" s="232">
        <v>0</v>
      </c>
      <c r="G267" s="232">
        <v>0</v>
      </c>
      <c r="H267" s="232">
        <v>0</v>
      </c>
      <c r="I267" s="232">
        <v>0</v>
      </c>
      <c r="J267" s="232">
        <v>1</v>
      </c>
      <c r="K267" s="232"/>
      <c r="L267" s="232" t="s">
        <v>9</v>
      </c>
      <c r="M267" s="232" t="s">
        <v>1032</v>
      </c>
      <c r="N267" s="232" t="s">
        <v>1032</v>
      </c>
      <c r="O267" s="232" t="s">
        <v>1032</v>
      </c>
      <c r="P267" s="232" t="s">
        <v>767</v>
      </c>
      <c r="Q267" s="232" t="s">
        <v>1032</v>
      </c>
      <c r="R267" s="232"/>
      <c r="S267" s="232" t="s">
        <v>1032</v>
      </c>
      <c r="T267" s="232" t="s">
        <v>1032</v>
      </c>
      <c r="U267" s="232" t="s">
        <v>40</v>
      </c>
      <c r="V267" s="232" t="s">
        <v>1032</v>
      </c>
      <c r="W267" s="232" t="s">
        <v>46</v>
      </c>
      <c r="X267" s="232">
        <f t="shared" si="4"/>
        <v>20</v>
      </c>
    </row>
    <row r="268" spans="1:24" ht="84" x14ac:dyDescent="0.3">
      <c r="A268" s="233" t="s">
        <v>768</v>
      </c>
      <c r="B268" s="232" t="s">
        <v>769</v>
      </c>
      <c r="C268" s="232">
        <v>0</v>
      </c>
      <c r="D268" s="232">
        <v>0</v>
      </c>
      <c r="E268" s="232">
        <v>0</v>
      </c>
      <c r="F268" s="232">
        <v>0</v>
      </c>
      <c r="G268" s="232">
        <v>0</v>
      </c>
      <c r="H268" s="232">
        <v>0</v>
      </c>
      <c r="I268" s="232">
        <v>0</v>
      </c>
      <c r="J268" s="232">
        <v>1</v>
      </c>
      <c r="K268" s="232"/>
      <c r="L268" s="232" t="s">
        <v>9</v>
      </c>
      <c r="M268" s="232" t="s">
        <v>1032</v>
      </c>
      <c r="N268" s="232" t="s">
        <v>1032</v>
      </c>
      <c r="O268" s="232" t="s">
        <v>1032</v>
      </c>
      <c r="P268" s="232" t="s">
        <v>770</v>
      </c>
      <c r="Q268" s="232" t="s">
        <v>771</v>
      </c>
      <c r="R268" s="232"/>
      <c r="S268" s="232" t="s">
        <v>1032</v>
      </c>
      <c r="T268" s="232" t="s">
        <v>1032</v>
      </c>
      <c r="U268" s="232" t="s">
        <v>40</v>
      </c>
      <c r="V268" s="232" t="s">
        <v>1032</v>
      </c>
      <c r="W268" s="232" t="s">
        <v>41</v>
      </c>
      <c r="X268" s="232">
        <f t="shared" si="4"/>
        <v>5</v>
      </c>
    </row>
    <row r="269" spans="1:24" ht="42" x14ac:dyDescent="0.3">
      <c r="A269" s="233" t="s">
        <v>772</v>
      </c>
      <c r="B269" s="232" t="s">
        <v>773</v>
      </c>
      <c r="C269" s="232">
        <v>0</v>
      </c>
      <c r="D269" s="232">
        <v>0</v>
      </c>
      <c r="E269" s="232">
        <v>0</v>
      </c>
      <c r="F269" s="232">
        <v>0</v>
      </c>
      <c r="G269" s="232">
        <v>0</v>
      </c>
      <c r="H269" s="232">
        <v>0</v>
      </c>
      <c r="I269" s="232">
        <v>0</v>
      </c>
      <c r="J269" s="232">
        <v>1</v>
      </c>
      <c r="K269" s="232"/>
      <c r="L269" s="232" t="s">
        <v>9</v>
      </c>
      <c r="M269" s="232" t="s">
        <v>1032</v>
      </c>
      <c r="N269" s="232" t="s">
        <v>1032</v>
      </c>
      <c r="O269" s="232" t="s">
        <v>1032</v>
      </c>
      <c r="P269" s="232" t="s">
        <v>774</v>
      </c>
      <c r="Q269" s="232" t="s">
        <v>1032</v>
      </c>
      <c r="R269" s="232" t="s">
        <v>1615</v>
      </c>
      <c r="S269" s="232" t="s">
        <v>1032</v>
      </c>
      <c r="T269" s="232" t="s">
        <v>1032</v>
      </c>
      <c r="U269" s="232" t="s">
        <v>40</v>
      </c>
      <c r="V269" s="232" t="s">
        <v>1032</v>
      </c>
      <c r="W269" s="232" t="s">
        <v>41</v>
      </c>
      <c r="X269" s="232">
        <f t="shared" si="4"/>
        <v>5</v>
      </c>
    </row>
    <row r="270" spans="1:24" ht="42" x14ac:dyDescent="0.3">
      <c r="A270" s="233" t="s">
        <v>775</v>
      </c>
      <c r="B270" s="232" t="s">
        <v>1031</v>
      </c>
      <c r="C270" s="232">
        <v>0</v>
      </c>
      <c r="D270" s="232">
        <v>0</v>
      </c>
      <c r="E270" s="232">
        <v>0</v>
      </c>
      <c r="F270" s="232">
        <v>0</v>
      </c>
      <c r="G270" s="232">
        <v>0</v>
      </c>
      <c r="H270" s="232">
        <v>0</v>
      </c>
      <c r="I270" s="232">
        <v>0</v>
      </c>
      <c r="J270" s="232">
        <v>1</v>
      </c>
      <c r="K270" s="232"/>
      <c r="L270" s="232" t="s">
        <v>9</v>
      </c>
      <c r="M270" s="232" t="s">
        <v>1032</v>
      </c>
      <c r="N270" s="232" t="s">
        <v>1032</v>
      </c>
      <c r="O270" s="232" t="s">
        <v>1032</v>
      </c>
      <c r="P270" s="232" t="s">
        <v>1032</v>
      </c>
      <c r="Q270" s="232" t="s">
        <v>776</v>
      </c>
      <c r="R270" s="232"/>
      <c r="S270" s="232" t="s">
        <v>1032</v>
      </c>
      <c r="T270" s="232" t="s">
        <v>1032</v>
      </c>
      <c r="U270" s="232" t="s">
        <v>149</v>
      </c>
      <c r="V270" s="232" t="s">
        <v>1032</v>
      </c>
      <c r="W270" s="232" t="s">
        <v>41</v>
      </c>
      <c r="X270" s="232">
        <f t="shared" si="4"/>
        <v>5</v>
      </c>
    </row>
    <row r="271" spans="1:24" ht="42" x14ac:dyDescent="0.3">
      <c r="A271" s="233" t="s">
        <v>777</v>
      </c>
      <c r="B271" s="232" t="s">
        <v>778</v>
      </c>
      <c r="C271" s="232">
        <v>0</v>
      </c>
      <c r="D271" s="232">
        <v>0</v>
      </c>
      <c r="E271" s="232">
        <v>0</v>
      </c>
      <c r="F271" s="232">
        <v>0</v>
      </c>
      <c r="G271" s="232">
        <v>0</v>
      </c>
      <c r="H271" s="232">
        <v>0</v>
      </c>
      <c r="I271" s="232">
        <v>0</v>
      </c>
      <c r="J271" s="232">
        <v>1</v>
      </c>
      <c r="K271" s="232"/>
      <c r="L271" s="232" t="s">
        <v>9</v>
      </c>
      <c r="M271" s="232" t="s">
        <v>1032</v>
      </c>
      <c r="N271" s="232" t="s">
        <v>1032</v>
      </c>
      <c r="O271" s="232" t="s">
        <v>1032</v>
      </c>
      <c r="P271" s="232" t="s">
        <v>1032</v>
      </c>
      <c r="Q271" s="232" t="s">
        <v>779</v>
      </c>
      <c r="R271" s="232"/>
      <c r="S271" s="232" t="s">
        <v>1032</v>
      </c>
      <c r="T271" s="232" t="s">
        <v>1032</v>
      </c>
      <c r="U271" s="232" t="s">
        <v>40</v>
      </c>
      <c r="V271" s="232" t="s">
        <v>1032</v>
      </c>
      <c r="W271" s="232" t="s">
        <v>41</v>
      </c>
      <c r="X271" s="232">
        <f t="shared" si="4"/>
        <v>5</v>
      </c>
    </row>
    <row r="272" spans="1:24" ht="56" x14ac:dyDescent="0.3">
      <c r="A272" s="233" t="s">
        <v>780</v>
      </c>
      <c r="B272" s="232" t="s">
        <v>781</v>
      </c>
      <c r="C272" s="232">
        <v>0</v>
      </c>
      <c r="D272" s="232">
        <v>0</v>
      </c>
      <c r="E272" s="232">
        <v>0</v>
      </c>
      <c r="F272" s="232">
        <v>0</v>
      </c>
      <c r="G272" s="232">
        <v>0</v>
      </c>
      <c r="H272" s="232">
        <v>0</v>
      </c>
      <c r="I272" s="232">
        <v>0</v>
      </c>
      <c r="J272" s="232">
        <v>1</v>
      </c>
      <c r="K272" s="232"/>
      <c r="L272" s="232" t="s">
        <v>9</v>
      </c>
      <c r="M272" s="232" t="s">
        <v>1032</v>
      </c>
      <c r="N272" s="232" t="s">
        <v>1032</v>
      </c>
      <c r="O272" s="232" t="s">
        <v>782</v>
      </c>
      <c r="P272" s="232" t="s">
        <v>1032</v>
      </c>
      <c r="Q272" s="232" t="s">
        <v>1032</v>
      </c>
      <c r="R272" s="232"/>
      <c r="S272" s="232" t="s">
        <v>1032</v>
      </c>
      <c r="T272" s="232" t="s">
        <v>1032</v>
      </c>
      <c r="U272" s="232" t="s">
        <v>40</v>
      </c>
      <c r="V272" s="232" t="s">
        <v>1032</v>
      </c>
      <c r="W272" s="232" t="s">
        <v>41</v>
      </c>
      <c r="X272" s="232">
        <f t="shared" si="4"/>
        <v>5</v>
      </c>
    </row>
    <row r="273" spans="1:24" ht="56" x14ac:dyDescent="0.3">
      <c r="A273" s="233" t="s">
        <v>783</v>
      </c>
      <c r="B273" s="232" t="s">
        <v>1080</v>
      </c>
      <c r="C273" s="232">
        <v>0</v>
      </c>
      <c r="D273" s="232">
        <v>0</v>
      </c>
      <c r="E273" s="232">
        <v>0</v>
      </c>
      <c r="F273" s="232">
        <v>0</v>
      </c>
      <c r="G273" s="232">
        <v>0</v>
      </c>
      <c r="H273" s="232">
        <v>0</v>
      </c>
      <c r="I273" s="232">
        <v>0</v>
      </c>
      <c r="J273" s="232">
        <v>1</v>
      </c>
      <c r="K273" s="232"/>
      <c r="L273" s="232" t="s">
        <v>9</v>
      </c>
      <c r="M273" s="232" t="s">
        <v>1032</v>
      </c>
      <c r="N273" s="232" t="s">
        <v>1032</v>
      </c>
      <c r="O273" s="232" t="s">
        <v>1032</v>
      </c>
      <c r="P273" s="232" t="s">
        <v>1032</v>
      </c>
      <c r="Q273" s="232" t="s">
        <v>784</v>
      </c>
      <c r="R273" s="232"/>
      <c r="S273" s="232" t="s">
        <v>1032</v>
      </c>
      <c r="T273" s="232" t="s">
        <v>1032</v>
      </c>
      <c r="U273" s="232" t="s">
        <v>149</v>
      </c>
      <c r="V273" s="232" t="s">
        <v>1032</v>
      </c>
      <c r="W273" s="232" t="s">
        <v>46</v>
      </c>
      <c r="X273" s="232">
        <f t="shared" si="4"/>
        <v>20</v>
      </c>
    </row>
    <row r="274" spans="1:24" ht="28" x14ac:dyDescent="0.3">
      <c r="A274" s="233" t="s">
        <v>785</v>
      </c>
      <c r="B274" s="232" t="s">
        <v>786</v>
      </c>
      <c r="C274" s="232">
        <v>0</v>
      </c>
      <c r="D274" s="232">
        <v>0</v>
      </c>
      <c r="E274" s="232">
        <v>0</v>
      </c>
      <c r="F274" s="232">
        <v>0</v>
      </c>
      <c r="G274" s="232">
        <v>0</v>
      </c>
      <c r="H274" s="232">
        <v>0</v>
      </c>
      <c r="I274" s="232">
        <v>0</v>
      </c>
      <c r="J274" s="232">
        <v>1</v>
      </c>
      <c r="K274" s="232"/>
      <c r="L274" s="232" t="s">
        <v>9</v>
      </c>
      <c r="M274" s="232" t="s">
        <v>1032</v>
      </c>
      <c r="N274" s="232" t="s">
        <v>1032</v>
      </c>
      <c r="O274" s="232" t="s">
        <v>1032</v>
      </c>
      <c r="P274" s="232" t="s">
        <v>1032</v>
      </c>
      <c r="Q274" s="232" t="s">
        <v>1032</v>
      </c>
      <c r="R274" s="232"/>
      <c r="S274" s="232" t="s">
        <v>1032</v>
      </c>
      <c r="T274" s="232" t="s">
        <v>1032</v>
      </c>
      <c r="U274" s="232" t="s">
        <v>40</v>
      </c>
      <c r="V274" s="232" t="s">
        <v>1032</v>
      </c>
      <c r="W274" s="232" t="s">
        <v>41</v>
      </c>
      <c r="X274" s="232">
        <f t="shared" si="4"/>
        <v>5</v>
      </c>
    </row>
    <row r="275" spans="1:24" ht="42" x14ac:dyDescent="0.3">
      <c r="A275" s="233" t="s">
        <v>787</v>
      </c>
      <c r="B275" s="232" t="s">
        <v>788</v>
      </c>
      <c r="C275" s="232">
        <v>0</v>
      </c>
      <c r="D275" s="232">
        <v>0</v>
      </c>
      <c r="E275" s="232">
        <v>0</v>
      </c>
      <c r="F275" s="232">
        <v>0</v>
      </c>
      <c r="G275" s="232">
        <v>0</v>
      </c>
      <c r="H275" s="232">
        <v>0</v>
      </c>
      <c r="I275" s="232">
        <v>0</v>
      </c>
      <c r="J275" s="232">
        <v>1</v>
      </c>
      <c r="K275" s="232"/>
      <c r="L275" s="232" t="s">
        <v>9</v>
      </c>
      <c r="M275" s="232" t="s">
        <v>1032</v>
      </c>
      <c r="N275" s="232" t="s">
        <v>1032</v>
      </c>
      <c r="O275" s="232" t="s">
        <v>1032</v>
      </c>
      <c r="P275" s="232" t="s">
        <v>1032</v>
      </c>
      <c r="Q275" s="232" t="s">
        <v>789</v>
      </c>
      <c r="R275" s="232"/>
      <c r="S275" s="232" t="s">
        <v>1529</v>
      </c>
      <c r="T275" s="232" t="s">
        <v>1529</v>
      </c>
      <c r="U275" s="232" t="s">
        <v>149</v>
      </c>
      <c r="V275" s="232" t="s">
        <v>1032</v>
      </c>
      <c r="W275" s="232" t="s">
        <v>75</v>
      </c>
      <c r="X275" s="232">
        <f t="shared" si="4"/>
        <v>10</v>
      </c>
    </row>
    <row r="276" spans="1:24" ht="42" x14ac:dyDescent="0.3">
      <c r="A276" s="233" t="s">
        <v>790</v>
      </c>
      <c r="B276" s="232" t="s">
        <v>1190</v>
      </c>
      <c r="C276" s="232">
        <v>0</v>
      </c>
      <c r="D276" s="232">
        <v>0</v>
      </c>
      <c r="E276" s="232">
        <v>0</v>
      </c>
      <c r="F276" s="232">
        <v>0</v>
      </c>
      <c r="G276" s="232">
        <v>0</v>
      </c>
      <c r="H276" s="232">
        <v>0</v>
      </c>
      <c r="I276" s="232">
        <v>0</v>
      </c>
      <c r="J276" s="232">
        <v>1</v>
      </c>
      <c r="K276" s="232"/>
      <c r="L276" s="232" t="s">
        <v>9</v>
      </c>
      <c r="M276" s="232" t="s">
        <v>1032</v>
      </c>
      <c r="N276" s="232" t="s">
        <v>1032</v>
      </c>
      <c r="O276" s="232" t="s">
        <v>1032</v>
      </c>
      <c r="P276" s="232" t="s">
        <v>1032</v>
      </c>
      <c r="Q276" s="232" t="s">
        <v>791</v>
      </c>
      <c r="R276" s="232"/>
      <c r="S276" s="232" t="s">
        <v>1032</v>
      </c>
      <c r="T276" s="232" t="s">
        <v>1032</v>
      </c>
      <c r="U276" s="232" t="s">
        <v>40</v>
      </c>
      <c r="V276" s="232" t="s">
        <v>1032</v>
      </c>
      <c r="W276" s="232" t="s">
        <v>75</v>
      </c>
      <c r="X276" s="232">
        <f t="shared" si="4"/>
        <v>10</v>
      </c>
    </row>
    <row r="277" spans="1:24" ht="28" x14ac:dyDescent="0.3">
      <c r="A277" s="233" t="s">
        <v>792</v>
      </c>
      <c r="B277" s="232" t="s">
        <v>793</v>
      </c>
      <c r="C277" s="232">
        <v>0</v>
      </c>
      <c r="D277" s="232">
        <v>0</v>
      </c>
      <c r="E277" s="232">
        <v>0</v>
      </c>
      <c r="F277" s="232">
        <v>0</v>
      </c>
      <c r="G277" s="232">
        <v>0</v>
      </c>
      <c r="H277" s="232">
        <v>0</v>
      </c>
      <c r="I277" s="232">
        <v>0</v>
      </c>
      <c r="J277" s="232">
        <v>1</v>
      </c>
      <c r="K277" s="232"/>
      <c r="L277" s="232" t="s">
        <v>9</v>
      </c>
      <c r="M277" s="232" t="s">
        <v>1032</v>
      </c>
      <c r="N277" s="232" t="s">
        <v>1032</v>
      </c>
      <c r="O277" s="232" t="s">
        <v>1032</v>
      </c>
      <c r="P277" s="232" t="s">
        <v>1191</v>
      </c>
      <c r="Q277" s="232" t="s">
        <v>1032</v>
      </c>
      <c r="R277" s="232"/>
      <c r="S277" s="232" t="s">
        <v>1032</v>
      </c>
      <c r="T277" s="232" t="s">
        <v>1032</v>
      </c>
      <c r="U277" s="232" t="s">
        <v>40</v>
      </c>
      <c r="V277" s="232" t="s">
        <v>1032</v>
      </c>
      <c r="W277" s="232" t="s">
        <v>75</v>
      </c>
      <c r="X277" s="232">
        <f t="shared" si="4"/>
        <v>10</v>
      </c>
    </row>
    <row r="278" spans="1:24" ht="42" x14ac:dyDescent="0.3">
      <c r="A278" s="233" t="s">
        <v>794</v>
      </c>
      <c r="B278" s="232" t="s">
        <v>795</v>
      </c>
      <c r="C278" s="232">
        <v>0</v>
      </c>
      <c r="D278" s="232">
        <v>0</v>
      </c>
      <c r="E278" s="232">
        <v>0</v>
      </c>
      <c r="F278" s="232">
        <v>0</v>
      </c>
      <c r="G278" s="232">
        <v>0</v>
      </c>
      <c r="H278" s="232">
        <v>0</v>
      </c>
      <c r="I278" s="232">
        <v>0</v>
      </c>
      <c r="J278" s="232">
        <v>1</v>
      </c>
      <c r="K278" s="232"/>
      <c r="L278" s="232" t="s">
        <v>9</v>
      </c>
      <c r="M278" s="232" t="s">
        <v>1032</v>
      </c>
      <c r="N278" s="232" t="s">
        <v>1032</v>
      </c>
      <c r="O278" s="232" t="s">
        <v>1032</v>
      </c>
      <c r="P278" s="232" t="s">
        <v>1032</v>
      </c>
      <c r="Q278" s="232" t="s">
        <v>796</v>
      </c>
      <c r="R278" s="232"/>
      <c r="S278" s="232" t="s">
        <v>1032</v>
      </c>
      <c r="T278" s="232" t="s">
        <v>1032</v>
      </c>
      <c r="U278" s="232" t="s">
        <v>149</v>
      </c>
      <c r="V278" s="232" t="s">
        <v>1032</v>
      </c>
      <c r="W278" s="232" t="s">
        <v>75</v>
      </c>
      <c r="X278" s="232">
        <f t="shared" si="4"/>
        <v>10</v>
      </c>
    </row>
    <row r="279" spans="1:24" ht="42" x14ac:dyDescent="0.3">
      <c r="A279" s="239" t="s">
        <v>797</v>
      </c>
      <c r="B279" s="232" t="s">
        <v>798</v>
      </c>
      <c r="C279" s="232">
        <v>0</v>
      </c>
      <c r="D279" s="232">
        <v>0</v>
      </c>
      <c r="E279" s="232">
        <v>0</v>
      </c>
      <c r="F279" s="232">
        <v>0</v>
      </c>
      <c r="G279" s="232">
        <v>0</v>
      </c>
      <c r="H279" s="232">
        <v>0</v>
      </c>
      <c r="I279" s="232">
        <v>0</v>
      </c>
      <c r="J279" s="232">
        <v>1</v>
      </c>
      <c r="K279" s="232"/>
      <c r="L279" s="232" t="s">
        <v>9</v>
      </c>
      <c r="M279" s="232" t="s">
        <v>1032</v>
      </c>
      <c r="N279" s="232" t="s">
        <v>1032</v>
      </c>
      <c r="O279" s="232" t="s">
        <v>1032</v>
      </c>
      <c r="P279" s="232" t="s">
        <v>1191</v>
      </c>
      <c r="Q279" s="232" t="s">
        <v>1032</v>
      </c>
      <c r="R279" s="232" t="s">
        <v>1615</v>
      </c>
      <c r="S279" s="232" t="s">
        <v>1032</v>
      </c>
      <c r="T279" s="232" t="s">
        <v>1032</v>
      </c>
      <c r="U279" s="232" t="s">
        <v>40</v>
      </c>
      <c r="V279" s="232" t="s">
        <v>1032</v>
      </c>
      <c r="W279" s="232" t="s">
        <v>75</v>
      </c>
      <c r="X279" s="232">
        <f t="shared" si="4"/>
        <v>10</v>
      </c>
    </row>
    <row r="280" spans="1:24" ht="28" x14ac:dyDescent="0.3">
      <c r="A280" s="240" t="s">
        <v>1094</v>
      </c>
      <c r="B280" s="237" t="s">
        <v>1288</v>
      </c>
      <c r="C280" s="233">
        <v>0</v>
      </c>
      <c r="D280" s="233">
        <v>0</v>
      </c>
      <c r="E280" s="233">
        <v>0</v>
      </c>
      <c r="F280" s="233">
        <v>0</v>
      </c>
      <c r="G280" s="233">
        <v>0</v>
      </c>
      <c r="H280" s="233">
        <v>0</v>
      </c>
      <c r="I280" s="233">
        <v>0</v>
      </c>
      <c r="J280" s="232">
        <v>1</v>
      </c>
      <c r="K280" s="232"/>
      <c r="L280" s="233" t="s">
        <v>9</v>
      </c>
      <c r="M280" s="232"/>
      <c r="N280" s="232"/>
      <c r="O280" s="232"/>
      <c r="P280" s="232"/>
      <c r="Q280" s="232"/>
      <c r="R280" s="232"/>
      <c r="S280" s="232" t="s">
        <v>1529</v>
      </c>
      <c r="T280" s="232" t="s">
        <v>1529</v>
      </c>
      <c r="U280" s="232" t="s">
        <v>40</v>
      </c>
      <c r="V280" s="232"/>
      <c r="W280" s="232" t="s">
        <v>75</v>
      </c>
      <c r="X280" s="232">
        <f t="shared" si="4"/>
        <v>10</v>
      </c>
    </row>
    <row r="281" spans="1:24" ht="56" x14ac:dyDescent="0.3">
      <c r="A281" s="240" t="s">
        <v>1095</v>
      </c>
      <c r="B281" s="237" t="s">
        <v>799</v>
      </c>
      <c r="C281" s="233">
        <v>0</v>
      </c>
      <c r="D281" s="233">
        <v>0</v>
      </c>
      <c r="E281" s="233">
        <v>0</v>
      </c>
      <c r="F281" s="233">
        <v>0</v>
      </c>
      <c r="G281" s="233">
        <v>0</v>
      </c>
      <c r="H281" s="233">
        <v>0</v>
      </c>
      <c r="I281" s="233">
        <v>0</v>
      </c>
      <c r="J281" s="232">
        <v>1</v>
      </c>
      <c r="K281" s="232"/>
      <c r="L281" s="233" t="s">
        <v>9</v>
      </c>
      <c r="M281" s="233"/>
      <c r="N281" s="233"/>
      <c r="O281" s="233"/>
      <c r="P281" s="233"/>
      <c r="Q281" s="233"/>
      <c r="R281" s="239"/>
      <c r="S281" s="233"/>
      <c r="T281" s="233"/>
      <c r="U281" s="233" t="s">
        <v>40</v>
      </c>
      <c r="V281" s="233"/>
      <c r="W281" s="232" t="s">
        <v>75</v>
      </c>
      <c r="X281" s="232">
        <f t="shared" si="4"/>
        <v>10</v>
      </c>
    </row>
    <row r="282" spans="1:24" ht="84" x14ac:dyDescent="0.3">
      <c r="A282" s="240" t="s">
        <v>1096</v>
      </c>
      <c r="B282" s="237" t="s">
        <v>800</v>
      </c>
      <c r="C282" s="233">
        <v>0</v>
      </c>
      <c r="D282" s="233">
        <v>0</v>
      </c>
      <c r="E282" s="233">
        <v>0</v>
      </c>
      <c r="F282" s="233">
        <v>0</v>
      </c>
      <c r="G282" s="233">
        <v>0</v>
      </c>
      <c r="H282" s="233">
        <v>0</v>
      </c>
      <c r="I282" s="233">
        <v>0</v>
      </c>
      <c r="J282" s="232">
        <v>1</v>
      </c>
      <c r="K282" s="232"/>
      <c r="L282" s="233" t="s">
        <v>9</v>
      </c>
      <c r="M282" s="233"/>
      <c r="N282" s="233"/>
      <c r="O282" s="233"/>
      <c r="P282" s="233"/>
      <c r="Q282" s="356"/>
      <c r="R282" s="358" t="s">
        <v>1633</v>
      </c>
      <c r="S282" s="357"/>
      <c r="T282" s="233"/>
      <c r="U282" s="233" t="s">
        <v>40</v>
      </c>
      <c r="V282" s="233"/>
      <c r="W282" s="232" t="s">
        <v>75</v>
      </c>
      <c r="X282" s="232">
        <f t="shared" si="4"/>
        <v>10</v>
      </c>
    </row>
    <row r="283" spans="1:24" ht="84" x14ac:dyDescent="0.3">
      <c r="A283" s="240" t="s">
        <v>1097</v>
      </c>
      <c r="B283" s="237" t="s">
        <v>1559</v>
      </c>
      <c r="C283" s="233">
        <v>0</v>
      </c>
      <c r="D283" s="233">
        <v>0</v>
      </c>
      <c r="E283" s="233">
        <v>0</v>
      </c>
      <c r="F283" s="233">
        <v>0</v>
      </c>
      <c r="G283" s="233">
        <v>0</v>
      </c>
      <c r="H283" s="233">
        <v>0</v>
      </c>
      <c r="I283" s="233">
        <v>0</v>
      </c>
      <c r="J283" s="232">
        <v>1</v>
      </c>
      <c r="K283" s="232"/>
      <c r="L283" s="233" t="s">
        <v>9</v>
      </c>
      <c r="M283" s="233"/>
      <c r="N283" s="233"/>
      <c r="O283" s="233"/>
      <c r="P283" s="233"/>
      <c r="Q283" s="356"/>
      <c r="R283" s="358" t="s">
        <v>1634</v>
      </c>
      <c r="S283" s="357"/>
      <c r="T283" s="233"/>
      <c r="U283" s="233" t="s">
        <v>40</v>
      </c>
      <c r="V283" s="233"/>
      <c r="W283" s="232" t="s">
        <v>75</v>
      </c>
      <c r="X283" s="232">
        <f t="shared" si="4"/>
        <v>10</v>
      </c>
    </row>
    <row r="284" spans="1:24" ht="84" x14ac:dyDescent="0.3">
      <c r="A284" s="240" t="s">
        <v>1098</v>
      </c>
      <c r="B284" s="237" t="s">
        <v>801</v>
      </c>
      <c r="C284" s="233">
        <v>0</v>
      </c>
      <c r="D284" s="233">
        <v>0</v>
      </c>
      <c r="E284" s="233">
        <v>0</v>
      </c>
      <c r="F284" s="233">
        <v>0</v>
      </c>
      <c r="G284" s="233">
        <v>0</v>
      </c>
      <c r="H284" s="233">
        <v>0</v>
      </c>
      <c r="I284" s="233">
        <v>0</v>
      </c>
      <c r="J284" s="232">
        <v>1</v>
      </c>
      <c r="K284" s="232"/>
      <c r="L284" s="233" t="s">
        <v>9</v>
      </c>
      <c r="M284" s="233"/>
      <c r="N284" s="233"/>
      <c r="O284" s="233"/>
      <c r="P284" s="233"/>
      <c r="Q284" s="356"/>
      <c r="R284" s="358" t="s">
        <v>1635</v>
      </c>
      <c r="S284" s="357"/>
      <c r="T284" s="233"/>
      <c r="U284" s="233" t="s">
        <v>40</v>
      </c>
      <c r="V284" s="233"/>
      <c r="W284" s="232" t="s">
        <v>75</v>
      </c>
      <c r="X284" s="232">
        <f t="shared" si="4"/>
        <v>10</v>
      </c>
    </row>
    <row r="285" spans="1:24" ht="84" x14ac:dyDescent="0.3">
      <c r="A285" s="240" t="s">
        <v>1099</v>
      </c>
      <c r="B285" s="237" t="s">
        <v>802</v>
      </c>
      <c r="C285" s="233">
        <v>0</v>
      </c>
      <c r="D285" s="233">
        <v>0</v>
      </c>
      <c r="E285" s="233">
        <v>0</v>
      </c>
      <c r="F285" s="233">
        <v>0</v>
      </c>
      <c r="G285" s="233">
        <v>0</v>
      </c>
      <c r="H285" s="233">
        <v>0</v>
      </c>
      <c r="I285" s="233">
        <v>0</v>
      </c>
      <c r="J285" s="232">
        <v>1</v>
      </c>
      <c r="K285" s="232"/>
      <c r="L285" s="233" t="s">
        <v>9</v>
      </c>
      <c r="M285" s="233"/>
      <c r="N285" s="233"/>
      <c r="O285" s="233"/>
      <c r="P285" s="233"/>
      <c r="Q285" s="356"/>
      <c r="R285" s="358" t="s">
        <v>1636</v>
      </c>
      <c r="S285" s="357"/>
      <c r="T285" s="233"/>
      <c r="U285" s="233" t="s">
        <v>40</v>
      </c>
      <c r="V285" s="233"/>
      <c r="W285" s="232" t="s">
        <v>75</v>
      </c>
      <c r="X285" s="232">
        <f t="shared" si="4"/>
        <v>10</v>
      </c>
    </row>
    <row r="286" spans="1:24" ht="84" x14ac:dyDescent="0.3">
      <c r="A286" s="240" t="s">
        <v>1100</v>
      </c>
      <c r="B286" s="237" t="s">
        <v>1192</v>
      </c>
      <c r="C286" s="233">
        <v>0</v>
      </c>
      <c r="D286" s="233">
        <v>0</v>
      </c>
      <c r="E286" s="233">
        <v>0</v>
      </c>
      <c r="F286" s="233">
        <v>0</v>
      </c>
      <c r="G286" s="233">
        <v>0</v>
      </c>
      <c r="H286" s="233">
        <v>0</v>
      </c>
      <c r="I286" s="233">
        <v>0</v>
      </c>
      <c r="J286" s="232">
        <v>1</v>
      </c>
      <c r="K286" s="232"/>
      <c r="L286" s="233" t="s">
        <v>9</v>
      </c>
      <c r="M286" s="233"/>
      <c r="N286" s="233"/>
      <c r="O286" s="233"/>
      <c r="P286" s="233"/>
      <c r="Q286" s="356"/>
      <c r="R286" s="358" t="s">
        <v>1637</v>
      </c>
      <c r="S286" s="357"/>
      <c r="T286" s="233"/>
      <c r="U286" s="233" t="s">
        <v>40</v>
      </c>
      <c r="V286" s="233"/>
      <c r="W286" s="232" t="s">
        <v>75</v>
      </c>
      <c r="X286" s="232">
        <f t="shared" si="4"/>
        <v>10</v>
      </c>
    </row>
    <row r="287" spans="1:24" ht="84" x14ac:dyDescent="0.3">
      <c r="A287" s="240" t="s">
        <v>1101</v>
      </c>
      <c r="B287" s="237" t="s">
        <v>1560</v>
      </c>
      <c r="C287" s="233">
        <v>0</v>
      </c>
      <c r="D287" s="233">
        <v>0</v>
      </c>
      <c r="E287" s="233">
        <v>0</v>
      </c>
      <c r="F287" s="233">
        <v>0</v>
      </c>
      <c r="G287" s="233">
        <v>0</v>
      </c>
      <c r="H287" s="233">
        <v>0</v>
      </c>
      <c r="I287" s="233">
        <v>0</v>
      </c>
      <c r="J287" s="232">
        <v>1</v>
      </c>
      <c r="K287" s="232"/>
      <c r="L287" s="233" t="s">
        <v>9</v>
      </c>
      <c r="M287" s="233"/>
      <c r="N287" s="233"/>
      <c r="O287" s="233"/>
      <c r="P287" s="233"/>
      <c r="Q287" s="356"/>
      <c r="R287" s="358" t="s">
        <v>1638</v>
      </c>
      <c r="S287" s="357"/>
      <c r="T287" s="233"/>
      <c r="U287" s="233" t="s">
        <v>40</v>
      </c>
      <c r="V287" s="233"/>
      <c r="W287" s="232" t="s">
        <v>75</v>
      </c>
      <c r="X287" s="232">
        <f t="shared" si="4"/>
        <v>10</v>
      </c>
    </row>
    <row r="288" spans="1:24" ht="84" x14ac:dyDescent="0.3">
      <c r="A288" s="240" t="s">
        <v>1102</v>
      </c>
      <c r="B288" s="237" t="s">
        <v>803</v>
      </c>
      <c r="C288" s="233">
        <v>0</v>
      </c>
      <c r="D288" s="233">
        <v>0</v>
      </c>
      <c r="E288" s="233">
        <v>0</v>
      </c>
      <c r="F288" s="233">
        <v>0</v>
      </c>
      <c r="G288" s="233">
        <v>0</v>
      </c>
      <c r="H288" s="233">
        <v>0</v>
      </c>
      <c r="I288" s="233">
        <v>0</v>
      </c>
      <c r="J288" s="232">
        <v>1</v>
      </c>
      <c r="K288" s="232"/>
      <c r="L288" s="233" t="s">
        <v>9</v>
      </c>
      <c r="M288" s="233"/>
      <c r="N288" s="233"/>
      <c r="O288" s="233"/>
      <c r="P288" s="233"/>
      <c r="Q288" s="356"/>
      <c r="R288" s="358" t="s">
        <v>1639</v>
      </c>
      <c r="S288" s="357"/>
      <c r="T288" s="233"/>
      <c r="U288" s="233" t="s">
        <v>40</v>
      </c>
      <c r="V288" s="233"/>
      <c r="W288" s="232" t="s">
        <v>75</v>
      </c>
      <c r="X288" s="232">
        <f t="shared" si="4"/>
        <v>10</v>
      </c>
    </row>
    <row r="289" spans="1:24" ht="84" x14ac:dyDescent="0.3">
      <c r="A289" s="240" t="s">
        <v>1103</v>
      </c>
      <c r="B289" s="237" t="s">
        <v>1562</v>
      </c>
      <c r="C289" s="233">
        <v>0</v>
      </c>
      <c r="D289" s="233">
        <v>0</v>
      </c>
      <c r="E289" s="233">
        <v>0</v>
      </c>
      <c r="F289" s="233">
        <v>0</v>
      </c>
      <c r="G289" s="233">
        <v>0</v>
      </c>
      <c r="H289" s="233">
        <v>0</v>
      </c>
      <c r="I289" s="233">
        <v>0</v>
      </c>
      <c r="J289" s="232">
        <v>1</v>
      </c>
      <c r="K289" s="232"/>
      <c r="L289" s="233" t="s">
        <v>9</v>
      </c>
      <c r="M289" s="233"/>
      <c r="N289" s="233"/>
      <c r="O289" s="233"/>
      <c r="P289" s="233"/>
      <c r="Q289" s="356"/>
      <c r="R289" s="358" t="s">
        <v>1640</v>
      </c>
      <c r="S289" s="357"/>
      <c r="T289" s="233"/>
      <c r="U289" s="233" t="s">
        <v>40</v>
      </c>
      <c r="V289" s="233"/>
      <c r="W289" s="232" t="s">
        <v>75</v>
      </c>
      <c r="X289" s="232">
        <f t="shared" si="4"/>
        <v>10</v>
      </c>
    </row>
    <row r="290" spans="1:24" ht="84" x14ac:dyDescent="0.3">
      <c r="A290" s="240" t="s">
        <v>1104</v>
      </c>
      <c r="B290" s="237" t="s">
        <v>804</v>
      </c>
      <c r="C290" s="233">
        <v>0</v>
      </c>
      <c r="D290" s="233">
        <v>0</v>
      </c>
      <c r="E290" s="233">
        <v>0</v>
      </c>
      <c r="F290" s="233">
        <v>0</v>
      </c>
      <c r="G290" s="233">
        <v>0</v>
      </c>
      <c r="H290" s="233">
        <v>0</v>
      </c>
      <c r="I290" s="233">
        <v>0</v>
      </c>
      <c r="J290" s="232">
        <v>1</v>
      </c>
      <c r="K290" s="232"/>
      <c r="L290" s="233" t="s">
        <v>9</v>
      </c>
      <c r="M290" s="233"/>
      <c r="N290" s="233"/>
      <c r="O290" s="233"/>
      <c r="P290" s="233"/>
      <c r="Q290" s="356"/>
      <c r="R290" s="358" t="s">
        <v>1641</v>
      </c>
      <c r="S290" s="357"/>
      <c r="T290" s="233"/>
      <c r="U290" s="233" t="s">
        <v>40</v>
      </c>
      <c r="V290" s="233"/>
      <c r="W290" s="232" t="s">
        <v>75</v>
      </c>
      <c r="X290" s="232">
        <f t="shared" si="4"/>
        <v>10</v>
      </c>
    </row>
    <row r="291" spans="1:24" ht="84" x14ac:dyDescent="0.3">
      <c r="A291" s="240" t="s">
        <v>1105</v>
      </c>
      <c r="B291" s="237" t="s">
        <v>805</v>
      </c>
      <c r="C291" s="233">
        <v>0</v>
      </c>
      <c r="D291" s="233">
        <v>0</v>
      </c>
      <c r="E291" s="233">
        <v>0</v>
      </c>
      <c r="F291" s="233">
        <v>0</v>
      </c>
      <c r="G291" s="233">
        <v>0</v>
      </c>
      <c r="H291" s="233">
        <v>0</v>
      </c>
      <c r="I291" s="233">
        <v>0</v>
      </c>
      <c r="J291" s="232">
        <v>1</v>
      </c>
      <c r="K291" s="232"/>
      <c r="L291" s="233" t="s">
        <v>9</v>
      </c>
      <c r="M291" s="233"/>
      <c r="N291" s="233"/>
      <c r="O291" s="233"/>
      <c r="P291" s="233"/>
      <c r="Q291" s="356"/>
      <c r="R291" s="358" t="s">
        <v>1642</v>
      </c>
      <c r="S291" s="357"/>
      <c r="T291" s="233"/>
      <c r="U291" s="233" t="s">
        <v>40</v>
      </c>
      <c r="V291" s="233"/>
      <c r="W291" s="232" t="s">
        <v>75</v>
      </c>
      <c r="X291" s="232">
        <f t="shared" si="4"/>
        <v>10</v>
      </c>
    </row>
    <row r="292" spans="1:24" ht="98" x14ac:dyDescent="0.3">
      <c r="A292" s="240" t="s">
        <v>1106</v>
      </c>
      <c r="B292" s="237" t="s">
        <v>1561</v>
      </c>
      <c r="C292" s="233">
        <v>0</v>
      </c>
      <c r="D292" s="233">
        <v>0</v>
      </c>
      <c r="E292" s="233">
        <v>0</v>
      </c>
      <c r="F292" s="233">
        <v>0</v>
      </c>
      <c r="G292" s="233">
        <v>0</v>
      </c>
      <c r="H292" s="233">
        <v>0</v>
      </c>
      <c r="I292" s="233">
        <v>0</v>
      </c>
      <c r="J292" s="232">
        <v>1</v>
      </c>
      <c r="K292" s="232"/>
      <c r="L292" s="233" t="s">
        <v>9</v>
      </c>
      <c r="M292" s="233"/>
      <c r="N292" s="233"/>
      <c r="O292" s="233"/>
      <c r="P292" s="233"/>
      <c r="Q292" s="356"/>
      <c r="R292" s="358" t="s">
        <v>1643</v>
      </c>
      <c r="S292" s="357"/>
      <c r="T292" s="233"/>
      <c r="U292" s="233" t="s">
        <v>149</v>
      </c>
      <c r="V292" s="233"/>
      <c r="W292" s="232" t="s">
        <v>75</v>
      </c>
      <c r="X292" s="232">
        <f t="shared" si="4"/>
        <v>10</v>
      </c>
    </row>
    <row r="293" spans="1:24" ht="84" x14ac:dyDescent="0.3">
      <c r="A293" s="240" t="s">
        <v>1107</v>
      </c>
      <c r="B293" s="237" t="s">
        <v>806</v>
      </c>
      <c r="C293" s="233">
        <v>0</v>
      </c>
      <c r="D293" s="233">
        <v>0</v>
      </c>
      <c r="E293" s="233">
        <v>0</v>
      </c>
      <c r="F293" s="233">
        <v>0</v>
      </c>
      <c r="G293" s="233">
        <v>0</v>
      </c>
      <c r="H293" s="233">
        <v>0</v>
      </c>
      <c r="I293" s="233">
        <v>0</v>
      </c>
      <c r="J293" s="232">
        <v>1</v>
      </c>
      <c r="K293" s="232"/>
      <c r="L293" s="233" t="s">
        <v>9</v>
      </c>
      <c r="M293" s="233"/>
      <c r="N293" s="233"/>
      <c r="O293" s="233"/>
      <c r="P293" s="233"/>
      <c r="Q293" s="356"/>
      <c r="R293" s="358" t="s">
        <v>1644</v>
      </c>
      <c r="S293" s="357"/>
      <c r="T293" s="233"/>
      <c r="U293" s="233" t="s">
        <v>40</v>
      </c>
      <c r="V293" s="233"/>
      <c r="W293" s="232" t="s">
        <v>75</v>
      </c>
      <c r="X293" s="232">
        <f t="shared" si="4"/>
        <v>10</v>
      </c>
    </row>
    <row r="294" spans="1:24" ht="28" x14ac:dyDescent="0.3">
      <c r="A294" s="241" t="s">
        <v>1108</v>
      </c>
      <c r="B294" s="237" t="s">
        <v>807</v>
      </c>
      <c r="C294" s="233">
        <v>0</v>
      </c>
      <c r="D294" s="233">
        <v>0</v>
      </c>
      <c r="E294" s="233">
        <v>0</v>
      </c>
      <c r="F294" s="233">
        <v>0</v>
      </c>
      <c r="G294" s="233">
        <v>0</v>
      </c>
      <c r="H294" s="233">
        <v>0</v>
      </c>
      <c r="I294" s="233">
        <v>0</v>
      </c>
      <c r="J294" s="232">
        <v>1</v>
      </c>
      <c r="K294" s="232"/>
      <c r="L294" s="233" t="s">
        <v>9</v>
      </c>
      <c r="M294" s="233"/>
      <c r="N294" s="233"/>
      <c r="O294" s="233"/>
      <c r="P294" s="233"/>
      <c r="Q294" s="233"/>
      <c r="R294" s="242"/>
      <c r="S294" s="233"/>
      <c r="T294" s="233"/>
      <c r="U294" s="233" t="s">
        <v>40</v>
      </c>
      <c r="V294" s="233"/>
      <c r="W294" s="232" t="s">
        <v>75</v>
      </c>
      <c r="X294" s="232">
        <f t="shared" si="4"/>
        <v>10</v>
      </c>
    </row>
    <row r="295" spans="1:24" ht="56" x14ac:dyDescent="0.3">
      <c r="A295" s="240" t="s">
        <v>1109</v>
      </c>
      <c r="B295" s="237" t="s">
        <v>1193</v>
      </c>
      <c r="C295" s="233">
        <v>0</v>
      </c>
      <c r="D295" s="233">
        <v>0</v>
      </c>
      <c r="E295" s="233">
        <v>0</v>
      </c>
      <c r="F295" s="233">
        <v>0</v>
      </c>
      <c r="G295" s="233">
        <v>0</v>
      </c>
      <c r="H295" s="233">
        <v>0</v>
      </c>
      <c r="I295" s="233">
        <v>0</v>
      </c>
      <c r="J295" s="232">
        <v>1</v>
      </c>
      <c r="K295" s="232"/>
      <c r="L295" s="233" t="s">
        <v>9</v>
      </c>
      <c r="M295" s="233"/>
      <c r="N295" s="233" t="s">
        <v>1449</v>
      </c>
      <c r="O295" s="233"/>
      <c r="P295" s="233"/>
      <c r="Q295" s="233"/>
      <c r="R295" s="233"/>
      <c r="S295" s="232" t="s">
        <v>1529</v>
      </c>
      <c r="T295" s="232" t="s">
        <v>1529</v>
      </c>
      <c r="U295" s="233" t="s">
        <v>149</v>
      </c>
      <c r="V295" s="233"/>
      <c r="W295" s="232" t="s">
        <v>75</v>
      </c>
      <c r="X295" s="232">
        <f t="shared" si="4"/>
        <v>10</v>
      </c>
    </row>
    <row r="296" spans="1:24" ht="56" x14ac:dyDescent="0.3">
      <c r="A296" s="240" t="s">
        <v>1110</v>
      </c>
      <c r="B296" s="237" t="s">
        <v>1612</v>
      </c>
      <c r="C296" s="232">
        <v>0</v>
      </c>
      <c r="D296" s="232">
        <v>0</v>
      </c>
      <c r="E296" s="232">
        <v>0</v>
      </c>
      <c r="F296" s="232">
        <v>0</v>
      </c>
      <c r="G296" s="232">
        <v>0</v>
      </c>
      <c r="H296" s="232">
        <v>0</v>
      </c>
      <c r="I296" s="232">
        <v>0</v>
      </c>
      <c r="J296" s="232">
        <v>1</v>
      </c>
      <c r="K296" s="232"/>
      <c r="L296" s="232" t="s">
        <v>9</v>
      </c>
      <c r="M296" s="232" t="s">
        <v>1032</v>
      </c>
      <c r="N296" s="232" t="s">
        <v>1449</v>
      </c>
      <c r="O296" s="232" t="s">
        <v>1032</v>
      </c>
      <c r="P296" s="232" t="s">
        <v>1032</v>
      </c>
      <c r="Q296" s="232" t="s">
        <v>1032</v>
      </c>
      <c r="R296" s="232" t="s">
        <v>1615</v>
      </c>
      <c r="S296" s="232" t="s">
        <v>1032</v>
      </c>
      <c r="T296" s="232" t="s">
        <v>1032</v>
      </c>
      <c r="U296" s="232" t="s">
        <v>149</v>
      </c>
      <c r="V296" s="232" t="s">
        <v>1032</v>
      </c>
      <c r="W296" s="232" t="s">
        <v>46</v>
      </c>
      <c r="X296" s="232">
        <f t="shared" si="4"/>
        <v>20</v>
      </c>
    </row>
    <row r="297" spans="1:24" ht="56" x14ac:dyDescent="0.3">
      <c r="A297" s="240" t="s">
        <v>808</v>
      </c>
      <c r="B297" s="237" t="s">
        <v>1194</v>
      </c>
      <c r="C297" s="232">
        <v>0</v>
      </c>
      <c r="D297" s="232">
        <v>0</v>
      </c>
      <c r="E297" s="232">
        <v>0</v>
      </c>
      <c r="F297" s="232">
        <v>0</v>
      </c>
      <c r="G297" s="232">
        <v>0</v>
      </c>
      <c r="H297" s="232">
        <v>0</v>
      </c>
      <c r="I297" s="232">
        <v>0</v>
      </c>
      <c r="J297" s="232">
        <v>1</v>
      </c>
      <c r="K297" s="232"/>
      <c r="L297" s="232" t="s">
        <v>9</v>
      </c>
      <c r="M297" s="232" t="s">
        <v>1032</v>
      </c>
      <c r="N297" s="232" t="s">
        <v>1449</v>
      </c>
      <c r="O297" s="232" t="s">
        <v>1032</v>
      </c>
      <c r="P297" s="232" t="s">
        <v>1032</v>
      </c>
      <c r="Q297" s="232" t="s">
        <v>1032</v>
      </c>
      <c r="R297" s="232" t="s">
        <v>1615</v>
      </c>
      <c r="S297" s="232" t="s">
        <v>1032</v>
      </c>
      <c r="T297" s="232" t="s">
        <v>1032</v>
      </c>
      <c r="U297" s="232" t="s">
        <v>40</v>
      </c>
      <c r="V297" s="232" t="s">
        <v>1032</v>
      </c>
      <c r="W297" s="232" t="s">
        <v>46</v>
      </c>
      <c r="X297" s="232">
        <f t="shared" si="4"/>
        <v>20</v>
      </c>
    </row>
    <row r="298" spans="1:24" ht="56" x14ac:dyDescent="0.3">
      <c r="A298" s="240" t="s">
        <v>810</v>
      </c>
      <c r="B298" s="237" t="s">
        <v>1195</v>
      </c>
      <c r="C298" s="232">
        <v>0</v>
      </c>
      <c r="D298" s="232">
        <v>0</v>
      </c>
      <c r="E298" s="232">
        <v>0</v>
      </c>
      <c r="F298" s="232">
        <v>0</v>
      </c>
      <c r="G298" s="232">
        <v>0</v>
      </c>
      <c r="H298" s="232">
        <v>0</v>
      </c>
      <c r="I298" s="232">
        <v>0</v>
      </c>
      <c r="J298" s="232">
        <v>1</v>
      </c>
      <c r="K298" s="232"/>
      <c r="L298" s="232" t="s">
        <v>9</v>
      </c>
      <c r="M298" s="232" t="s">
        <v>1032</v>
      </c>
      <c r="N298" s="232" t="s">
        <v>1449</v>
      </c>
      <c r="O298" s="232" t="s">
        <v>1032</v>
      </c>
      <c r="P298" s="232" t="s">
        <v>1032</v>
      </c>
      <c r="Q298" s="232" t="s">
        <v>1032</v>
      </c>
      <c r="R298" s="232"/>
      <c r="S298" s="232" t="s">
        <v>1032</v>
      </c>
      <c r="T298" s="232" t="s">
        <v>1032</v>
      </c>
      <c r="U298" s="232" t="s">
        <v>149</v>
      </c>
      <c r="V298" s="232" t="s">
        <v>1032</v>
      </c>
      <c r="W298" s="232" t="s">
        <v>75</v>
      </c>
      <c r="X298" s="232">
        <f t="shared" si="4"/>
        <v>10</v>
      </c>
    </row>
    <row r="299" spans="1:24" ht="56" x14ac:dyDescent="0.3">
      <c r="A299" s="240" t="s">
        <v>811</v>
      </c>
      <c r="B299" s="237" t="s">
        <v>809</v>
      </c>
      <c r="C299" s="232">
        <v>0</v>
      </c>
      <c r="D299" s="232">
        <v>0</v>
      </c>
      <c r="E299" s="232">
        <v>0</v>
      </c>
      <c r="F299" s="232">
        <v>0</v>
      </c>
      <c r="G299" s="232">
        <v>0</v>
      </c>
      <c r="H299" s="232">
        <v>0</v>
      </c>
      <c r="I299" s="232">
        <v>0</v>
      </c>
      <c r="J299" s="232">
        <v>1</v>
      </c>
      <c r="K299" s="232"/>
      <c r="L299" s="232" t="s">
        <v>9</v>
      </c>
      <c r="M299" s="232" t="s">
        <v>1032</v>
      </c>
      <c r="N299" s="232" t="s">
        <v>1449</v>
      </c>
      <c r="O299" s="232" t="s">
        <v>1032</v>
      </c>
      <c r="P299" s="232" t="s">
        <v>1032</v>
      </c>
      <c r="Q299" s="232" t="s">
        <v>1032</v>
      </c>
      <c r="R299" s="232" t="s">
        <v>1615</v>
      </c>
      <c r="S299" s="232" t="s">
        <v>1032</v>
      </c>
      <c r="T299" s="232" t="s">
        <v>1032</v>
      </c>
      <c r="U299" s="232" t="s">
        <v>40</v>
      </c>
      <c r="V299" s="232" t="s">
        <v>1032</v>
      </c>
      <c r="W299" s="232" t="s">
        <v>41</v>
      </c>
      <c r="X299" s="232">
        <f t="shared" si="4"/>
        <v>5</v>
      </c>
    </row>
    <row r="300" spans="1:24" ht="56" x14ac:dyDescent="0.3">
      <c r="A300" s="240" t="s">
        <v>813</v>
      </c>
      <c r="B300" s="237" t="s">
        <v>812</v>
      </c>
      <c r="C300" s="232">
        <v>0</v>
      </c>
      <c r="D300" s="232">
        <v>0</v>
      </c>
      <c r="E300" s="232">
        <v>0</v>
      </c>
      <c r="F300" s="232">
        <v>0</v>
      </c>
      <c r="G300" s="232">
        <v>0</v>
      </c>
      <c r="H300" s="232">
        <v>0</v>
      </c>
      <c r="I300" s="232">
        <v>0</v>
      </c>
      <c r="J300" s="232">
        <v>1</v>
      </c>
      <c r="K300" s="232"/>
      <c r="L300" s="232" t="s">
        <v>9</v>
      </c>
      <c r="M300" s="232" t="s">
        <v>1032</v>
      </c>
      <c r="N300" s="232" t="s">
        <v>1449</v>
      </c>
      <c r="O300" s="232" t="s">
        <v>1032</v>
      </c>
      <c r="P300" s="232" t="s">
        <v>1032</v>
      </c>
      <c r="Q300" s="232" t="s">
        <v>1032</v>
      </c>
      <c r="R300" s="232"/>
      <c r="S300" s="232" t="s">
        <v>1032</v>
      </c>
      <c r="T300" s="232" t="s">
        <v>1032</v>
      </c>
      <c r="U300" s="232" t="s">
        <v>149</v>
      </c>
      <c r="V300" s="232" t="s">
        <v>1032</v>
      </c>
      <c r="W300" s="232" t="s">
        <v>41</v>
      </c>
      <c r="X300" s="232">
        <f t="shared" si="4"/>
        <v>5</v>
      </c>
    </row>
    <row r="301" spans="1:24" ht="56" x14ac:dyDescent="0.3">
      <c r="A301" s="240" t="s">
        <v>814</v>
      </c>
      <c r="B301" s="237" t="s">
        <v>1196</v>
      </c>
      <c r="C301" s="232">
        <v>0</v>
      </c>
      <c r="D301" s="232">
        <v>0</v>
      </c>
      <c r="E301" s="232">
        <v>0</v>
      </c>
      <c r="F301" s="232">
        <v>0</v>
      </c>
      <c r="G301" s="232">
        <v>0</v>
      </c>
      <c r="H301" s="232">
        <v>0</v>
      </c>
      <c r="I301" s="232">
        <v>0</v>
      </c>
      <c r="J301" s="232">
        <v>1</v>
      </c>
      <c r="K301" s="232"/>
      <c r="L301" s="232" t="s">
        <v>9</v>
      </c>
      <c r="M301" s="232" t="s">
        <v>1032</v>
      </c>
      <c r="N301" s="232" t="s">
        <v>1449</v>
      </c>
      <c r="O301" s="232" t="s">
        <v>1032</v>
      </c>
      <c r="P301" s="232" t="s">
        <v>1032</v>
      </c>
      <c r="Q301" s="232" t="s">
        <v>1032</v>
      </c>
      <c r="R301" s="232"/>
      <c r="S301" s="232" t="s">
        <v>1032</v>
      </c>
      <c r="T301" s="232" t="s">
        <v>1032</v>
      </c>
      <c r="U301" s="232" t="s">
        <v>40</v>
      </c>
      <c r="V301" s="232" t="s">
        <v>1032</v>
      </c>
      <c r="W301" s="232" t="s">
        <v>41</v>
      </c>
      <c r="X301" s="232">
        <f t="shared" si="4"/>
        <v>5</v>
      </c>
    </row>
    <row r="302" spans="1:24" ht="56" x14ac:dyDescent="0.3">
      <c r="A302" s="240" t="s">
        <v>815</v>
      </c>
      <c r="B302" s="237" t="s">
        <v>816</v>
      </c>
      <c r="C302" s="232">
        <v>0</v>
      </c>
      <c r="D302" s="232">
        <v>0</v>
      </c>
      <c r="E302" s="232">
        <v>0</v>
      </c>
      <c r="F302" s="232">
        <v>0</v>
      </c>
      <c r="G302" s="232">
        <v>0</v>
      </c>
      <c r="H302" s="232">
        <v>0</v>
      </c>
      <c r="I302" s="232">
        <v>0</v>
      </c>
      <c r="J302" s="232">
        <v>1</v>
      </c>
      <c r="K302" s="232"/>
      <c r="L302" s="232" t="s">
        <v>9</v>
      </c>
      <c r="M302" s="232" t="s">
        <v>1032</v>
      </c>
      <c r="N302" s="232" t="s">
        <v>1449</v>
      </c>
      <c r="O302" s="232" t="s">
        <v>1032</v>
      </c>
      <c r="P302" s="232" t="s">
        <v>1032</v>
      </c>
      <c r="Q302" s="232" t="s">
        <v>1032</v>
      </c>
      <c r="R302" s="232" t="s">
        <v>1615</v>
      </c>
      <c r="S302" s="232" t="s">
        <v>1032</v>
      </c>
      <c r="T302" s="232" t="s">
        <v>1032</v>
      </c>
      <c r="U302" s="232" t="s">
        <v>40</v>
      </c>
      <c r="V302" s="232" t="s">
        <v>1032</v>
      </c>
      <c r="W302" s="232" t="s">
        <v>41</v>
      </c>
      <c r="X302" s="232">
        <f t="shared" si="4"/>
        <v>5</v>
      </c>
    </row>
    <row r="303" spans="1:24" ht="56" x14ac:dyDescent="0.3">
      <c r="A303" s="242" t="s">
        <v>817</v>
      </c>
      <c r="B303" s="232" t="s">
        <v>1262</v>
      </c>
      <c r="C303" s="232">
        <v>0</v>
      </c>
      <c r="D303" s="232">
        <v>0</v>
      </c>
      <c r="E303" s="232">
        <v>0</v>
      </c>
      <c r="F303" s="232">
        <v>0</v>
      </c>
      <c r="G303" s="232">
        <v>0</v>
      </c>
      <c r="H303" s="232">
        <v>0</v>
      </c>
      <c r="I303" s="232">
        <v>1</v>
      </c>
      <c r="J303" s="232">
        <v>0</v>
      </c>
      <c r="K303" s="232" t="s">
        <v>22</v>
      </c>
      <c r="L303" s="232" t="s">
        <v>1062</v>
      </c>
      <c r="M303" s="232" t="s">
        <v>1032</v>
      </c>
      <c r="N303" s="232" t="s">
        <v>1449</v>
      </c>
      <c r="O303" s="232" t="s">
        <v>818</v>
      </c>
      <c r="P303" s="232" t="s">
        <v>1032</v>
      </c>
      <c r="Q303" s="232" t="s">
        <v>1032</v>
      </c>
      <c r="R303" s="232"/>
      <c r="S303" s="232" t="s">
        <v>1529</v>
      </c>
      <c r="T303" s="232" t="s">
        <v>1529</v>
      </c>
      <c r="U303" s="232" t="s">
        <v>1062</v>
      </c>
      <c r="V303" s="232" t="s">
        <v>1032</v>
      </c>
      <c r="W303" s="232" t="s">
        <v>1032</v>
      </c>
      <c r="X303" s="232">
        <f t="shared" si="4"/>
        <v>10</v>
      </c>
    </row>
    <row r="304" spans="1:24" ht="56" x14ac:dyDescent="0.3">
      <c r="A304" s="233" t="s">
        <v>819</v>
      </c>
      <c r="B304" s="232" t="s">
        <v>1263</v>
      </c>
      <c r="C304" s="232">
        <v>0</v>
      </c>
      <c r="D304" s="232">
        <v>0</v>
      </c>
      <c r="E304" s="232">
        <v>0</v>
      </c>
      <c r="F304" s="232">
        <v>0</v>
      </c>
      <c r="G304" s="232">
        <v>0</v>
      </c>
      <c r="H304" s="232">
        <v>0</v>
      </c>
      <c r="I304" s="232">
        <v>1</v>
      </c>
      <c r="J304" s="232">
        <v>0</v>
      </c>
      <c r="K304" s="232" t="s">
        <v>22</v>
      </c>
      <c r="L304" s="232" t="s">
        <v>1062</v>
      </c>
      <c r="M304" s="232" t="s">
        <v>1032</v>
      </c>
      <c r="N304" s="232" t="s">
        <v>1449</v>
      </c>
      <c r="O304" s="232" t="s">
        <v>820</v>
      </c>
      <c r="P304" s="232" t="s">
        <v>1032</v>
      </c>
      <c r="Q304" s="232" t="s">
        <v>1032</v>
      </c>
      <c r="R304" s="232"/>
      <c r="S304" s="232" t="s">
        <v>1032</v>
      </c>
      <c r="T304" s="232" t="s">
        <v>1032</v>
      </c>
      <c r="U304" s="232" t="s">
        <v>1062</v>
      </c>
      <c r="V304" s="232" t="s">
        <v>1032</v>
      </c>
      <c r="W304" s="232" t="s">
        <v>1032</v>
      </c>
      <c r="X304" s="232">
        <f t="shared" si="4"/>
        <v>10</v>
      </c>
    </row>
    <row r="305" spans="1:24" ht="56" x14ac:dyDescent="0.3">
      <c r="A305" s="233" t="s">
        <v>821</v>
      </c>
      <c r="B305" s="232" t="s">
        <v>1515</v>
      </c>
      <c r="C305" s="232">
        <v>0</v>
      </c>
      <c r="D305" s="232">
        <v>0</v>
      </c>
      <c r="E305" s="232">
        <v>0</v>
      </c>
      <c r="F305" s="232">
        <v>0</v>
      </c>
      <c r="G305" s="232">
        <v>0</v>
      </c>
      <c r="H305" s="232">
        <v>0</v>
      </c>
      <c r="I305" s="232">
        <v>1</v>
      </c>
      <c r="J305" s="232">
        <v>0</v>
      </c>
      <c r="K305" s="232"/>
      <c r="L305" s="232" t="s">
        <v>8</v>
      </c>
      <c r="M305" s="232" t="s">
        <v>1032</v>
      </c>
      <c r="N305" s="232" t="s">
        <v>1449</v>
      </c>
      <c r="O305" s="232" t="s">
        <v>824</v>
      </c>
      <c r="P305" s="232" t="s">
        <v>1032</v>
      </c>
      <c r="Q305" s="232" t="s">
        <v>1032</v>
      </c>
      <c r="R305" s="232"/>
      <c r="S305" s="232" t="s">
        <v>1529</v>
      </c>
      <c r="T305" s="232" t="s">
        <v>1529</v>
      </c>
      <c r="U305" s="232" t="s">
        <v>40</v>
      </c>
      <c r="V305" s="232" t="s">
        <v>1032</v>
      </c>
      <c r="W305" s="232" t="s">
        <v>46</v>
      </c>
      <c r="X305" s="232">
        <f t="shared" si="4"/>
        <v>20</v>
      </c>
    </row>
    <row r="306" spans="1:24" ht="56" x14ac:dyDescent="0.3">
      <c r="A306" s="233" t="s">
        <v>823</v>
      </c>
      <c r="B306" s="232" t="s">
        <v>1264</v>
      </c>
      <c r="C306" s="232">
        <v>0</v>
      </c>
      <c r="D306" s="232">
        <v>0</v>
      </c>
      <c r="E306" s="232">
        <v>0</v>
      </c>
      <c r="F306" s="232">
        <v>0</v>
      </c>
      <c r="G306" s="232">
        <v>0</v>
      </c>
      <c r="H306" s="232">
        <v>0</v>
      </c>
      <c r="I306" s="232">
        <v>1</v>
      </c>
      <c r="J306" s="232">
        <v>0</v>
      </c>
      <c r="K306" s="232"/>
      <c r="L306" s="232" t="s">
        <v>8</v>
      </c>
      <c r="M306" s="232" t="s">
        <v>1032</v>
      </c>
      <c r="N306" s="232" t="s">
        <v>1449</v>
      </c>
      <c r="O306" s="232" t="s">
        <v>1197</v>
      </c>
      <c r="P306" s="232" t="s">
        <v>1032</v>
      </c>
      <c r="Q306" s="232" t="s">
        <v>1032</v>
      </c>
      <c r="R306" s="232"/>
      <c r="S306" s="232" t="s">
        <v>1032</v>
      </c>
      <c r="T306" s="232" t="s">
        <v>1032</v>
      </c>
      <c r="U306" s="232" t="s">
        <v>40</v>
      </c>
      <c r="V306" s="232" t="s">
        <v>1032</v>
      </c>
      <c r="W306" s="232" t="s">
        <v>46</v>
      </c>
      <c r="X306" s="232">
        <f t="shared" si="4"/>
        <v>20</v>
      </c>
    </row>
    <row r="307" spans="1:24" ht="56" x14ac:dyDescent="0.3">
      <c r="A307" s="233" t="s">
        <v>825</v>
      </c>
      <c r="B307" s="232" t="s">
        <v>1081</v>
      </c>
      <c r="C307" s="232">
        <v>0</v>
      </c>
      <c r="D307" s="232">
        <v>0</v>
      </c>
      <c r="E307" s="232">
        <v>0</v>
      </c>
      <c r="F307" s="232">
        <v>0</v>
      </c>
      <c r="G307" s="232">
        <v>0</v>
      </c>
      <c r="H307" s="232">
        <v>0</v>
      </c>
      <c r="I307" s="232">
        <v>1</v>
      </c>
      <c r="J307" s="232">
        <v>0</v>
      </c>
      <c r="K307" s="232"/>
      <c r="L307" s="232" t="s">
        <v>8</v>
      </c>
      <c r="M307" s="232" t="s">
        <v>1032</v>
      </c>
      <c r="N307" s="232" t="s">
        <v>1449</v>
      </c>
      <c r="O307" s="232" t="s">
        <v>829</v>
      </c>
      <c r="P307" s="232" t="s">
        <v>1032</v>
      </c>
      <c r="Q307" s="232" t="s">
        <v>1032</v>
      </c>
      <c r="R307" s="232"/>
      <c r="S307" s="232" t="s">
        <v>1032</v>
      </c>
      <c r="T307" s="232" t="s">
        <v>1032</v>
      </c>
      <c r="U307" s="232" t="s">
        <v>40</v>
      </c>
      <c r="V307" s="232" t="s">
        <v>1032</v>
      </c>
      <c r="W307" s="232" t="s">
        <v>46</v>
      </c>
      <c r="X307" s="232">
        <f t="shared" si="4"/>
        <v>20</v>
      </c>
    </row>
    <row r="308" spans="1:24" ht="56" x14ac:dyDescent="0.3">
      <c r="A308" s="233" t="s">
        <v>826</v>
      </c>
      <c r="B308" s="232" t="s">
        <v>1265</v>
      </c>
      <c r="C308" s="232">
        <v>0</v>
      </c>
      <c r="D308" s="232">
        <v>0</v>
      </c>
      <c r="E308" s="232">
        <v>0</v>
      </c>
      <c r="F308" s="232">
        <v>0</v>
      </c>
      <c r="G308" s="232">
        <v>0</v>
      </c>
      <c r="H308" s="232">
        <v>0</v>
      </c>
      <c r="I308" s="232">
        <v>1</v>
      </c>
      <c r="J308" s="232">
        <v>0</v>
      </c>
      <c r="K308" s="232"/>
      <c r="L308" s="232" t="s">
        <v>1062</v>
      </c>
      <c r="M308" s="232" t="s">
        <v>1032</v>
      </c>
      <c r="N308" s="232" t="s">
        <v>1449</v>
      </c>
      <c r="O308" s="232" t="s">
        <v>822</v>
      </c>
      <c r="P308" s="232" t="s">
        <v>1032</v>
      </c>
      <c r="Q308" s="232" t="s">
        <v>1032</v>
      </c>
      <c r="R308" s="232"/>
      <c r="S308" s="232" t="s">
        <v>1032</v>
      </c>
      <c r="T308" s="232" t="s">
        <v>1032</v>
      </c>
      <c r="U308" s="232" t="s">
        <v>1062</v>
      </c>
      <c r="V308" s="232" t="s">
        <v>1032</v>
      </c>
      <c r="W308" s="232" t="s">
        <v>75</v>
      </c>
      <c r="X308" s="232">
        <f t="shared" si="4"/>
        <v>10</v>
      </c>
    </row>
    <row r="309" spans="1:24" ht="84" x14ac:dyDescent="0.3">
      <c r="A309" s="233" t="s">
        <v>828</v>
      </c>
      <c r="B309" s="232" t="s">
        <v>1266</v>
      </c>
      <c r="C309" s="232">
        <v>0</v>
      </c>
      <c r="D309" s="232">
        <v>0</v>
      </c>
      <c r="E309" s="232">
        <v>0</v>
      </c>
      <c r="F309" s="232">
        <v>0</v>
      </c>
      <c r="G309" s="232">
        <v>0</v>
      </c>
      <c r="H309" s="232">
        <v>0</v>
      </c>
      <c r="I309" s="232">
        <v>1</v>
      </c>
      <c r="J309" s="232">
        <v>0</v>
      </c>
      <c r="K309" s="232"/>
      <c r="L309" s="232" t="s">
        <v>8</v>
      </c>
      <c r="M309" s="232" t="s">
        <v>1032</v>
      </c>
      <c r="N309" s="232" t="s">
        <v>1449</v>
      </c>
      <c r="O309" s="232" t="s">
        <v>827</v>
      </c>
      <c r="P309" s="232" t="s">
        <v>1032</v>
      </c>
      <c r="Q309" s="232" t="s">
        <v>1032</v>
      </c>
      <c r="R309" s="232"/>
      <c r="S309" s="232" t="s">
        <v>1032</v>
      </c>
      <c r="T309" s="232" t="s">
        <v>1032</v>
      </c>
      <c r="U309" s="232" t="s">
        <v>40</v>
      </c>
      <c r="V309" s="232" t="s">
        <v>1032</v>
      </c>
      <c r="W309" s="232" t="s">
        <v>75</v>
      </c>
      <c r="X309" s="232">
        <f t="shared" si="4"/>
        <v>10</v>
      </c>
    </row>
    <row r="310" spans="1:24" ht="70" x14ac:dyDescent="0.3">
      <c r="A310" s="233" t="s">
        <v>830</v>
      </c>
      <c r="B310" s="232" t="s">
        <v>1082</v>
      </c>
      <c r="C310" s="232">
        <v>0</v>
      </c>
      <c r="D310" s="232">
        <v>0</v>
      </c>
      <c r="E310" s="232">
        <v>0</v>
      </c>
      <c r="F310" s="232">
        <v>0</v>
      </c>
      <c r="G310" s="232">
        <v>0</v>
      </c>
      <c r="H310" s="232">
        <v>0</v>
      </c>
      <c r="I310" s="232">
        <v>1</v>
      </c>
      <c r="J310" s="232">
        <v>0</v>
      </c>
      <c r="K310" s="232"/>
      <c r="L310" s="232" t="s">
        <v>8</v>
      </c>
      <c r="M310" s="232" t="s">
        <v>1032</v>
      </c>
      <c r="N310" s="232" t="s">
        <v>1449</v>
      </c>
      <c r="O310" s="232" t="s">
        <v>1198</v>
      </c>
      <c r="P310" s="232" t="s">
        <v>1032</v>
      </c>
      <c r="Q310" s="232" t="s">
        <v>1032</v>
      </c>
      <c r="R310" s="232"/>
      <c r="S310" s="232" t="s">
        <v>1529</v>
      </c>
      <c r="T310" s="232" t="s">
        <v>1529</v>
      </c>
      <c r="U310" s="232" t="s">
        <v>40</v>
      </c>
      <c r="V310" s="232" t="s">
        <v>1032</v>
      </c>
      <c r="W310" s="232" t="s">
        <v>46</v>
      </c>
      <c r="X310" s="232">
        <f t="shared" si="4"/>
        <v>20</v>
      </c>
    </row>
    <row r="311" spans="1:24" ht="56" x14ac:dyDescent="0.3">
      <c r="A311" s="233" t="s">
        <v>831</v>
      </c>
      <c r="B311" s="232" t="s">
        <v>1083</v>
      </c>
      <c r="C311" s="232">
        <v>0</v>
      </c>
      <c r="D311" s="232">
        <v>0</v>
      </c>
      <c r="E311" s="232">
        <v>0</v>
      </c>
      <c r="F311" s="232">
        <v>0</v>
      </c>
      <c r="G311" s="232">
        <v>0</v>
      </c>
      <c r="H311" s="232">
        <v>0</v>
      </c>
      <c r="I311" s="232">
        <v>1</v>
      </c>
      <c r="J311" s="232">
        <v>0</v>
      </c>
      <c r="K311" s="232"/>
      <c r="L311" s="232" t="s">
        <v>8</v>
      </c>
      <c r="M311" s="232" t="s">
        <v>1032</v>
      </c>
      <c r="N311" s="232" t="s">
        <v>1449</v>
      </c>
      <c r="O311" s="232" t="s">
        <v>1199</v>
      </c>
      <c r="P311" s="232" t="s">
        <v>1032</v>
      </c>
      <c r="Q311" s="232" t="s">
        <v>1032</v>
      </c>
      <c r="R311" s="232"/>
      <c r="S311" s="232" t="s">
        <v>1032</v>
      </c>
      <c r="T311" s="232" t="s">
        <v>1032</v>
      </c>
      <c r="U311" s="232" t="s">
        <v>40</v>
      </c>
      <c r="V311" s="232" t="s">
        <v>1032</v>
      </c>
      <c r="W311" s="232" t="s">
        <v>46</v>
      </c>
      <c r="X311" s="232">
        <f t="shared" si="4"/>
        <v>20</v>
      </c>
    </row>
    <row r="312" spans="1:24" ht="126" x14ac:dyDescent="0.3">
      <c r="A312" s="233" t="s">
        <v>832</v>
      </c>
      <c r="B312" s="232" t="s">
        <v>1516</v>
      </c>
      <c r="C312" s="232">
        <v>0</v>
      </c>
      <c r="D312" s="232">
        <v>0</v>
      </c>
      <c r="E312" s="232">
        <v>0</v>
      </c>
      <c r="F312" s="232">
        <v>0</v>
      </c>
      <c r="G312" s="232">
        <v>0</v>
      </c>
      <c r="H312" s="232">
        <v>0</v>
      </c>
      <c r="I312" s="232">
        <v>1</v>
      </c>
      <c r="J312" s="232">
        <v>0</v>
      </c>
      <c r="K312" s="232"/>
      <c r="L312" s="232" t="s">
        <v>8</v>
      </c>
      <c r="M312" s="232" t="s">
        <v>1032</v>
      </c>
      <c r="N312" s="232" t="s">
        <v>1449</v>
      </c>
      <c r="O312" s="232" t="s">
        <v>1267</v>
      </c>
      <c r="P312" s="232" t="s">
        <v>1032</v>
      </c>
      <c r="Q312" s="232" t="s">
        <v>1032</v>
      </c>
      <c r="R312" s="232"/>
      <c r="S312" s="232" t="s">
        <v>1032</v>
      </c>
      <c r="T312" s="232" t="s">
        <v>1032</v>
      </c>
      <c r="U312" s="232" t="s">
        <v>40</v>
      </c>
      <c r="V312" s="232" t="s">
        <v>1032</v>
      </c>
      <c r="W312" s="232" t="s">
        <v>46</v>
      </c>
      <c r="X312" s="232">
        <f t="shared" si="4"/>
        <v>20</v>
      </c>
    </row>
    <row r="313" spans="1:24" ht="126" x14ac:dyDescent="0.3">
      <c r="A313" s="233" t="s">
        <v>833</v>
      </c>
      <c r="B313" s="232" t="s">
        <v>1517</v>
      </c>
      <c r="C313" s="232">
        <v>0</v>
      </c>
      <c r="D313" s="232">
        <v>0</v>
      </c>
      <c r="E313" s="232">
        <v>0</v>
      </c>
      <c r="F313" s="232">
        <v>0</v>
      </c>
      <c r="G313" s="232">
        <v>0</v>
      </c>
      <c r="H313" s="232">
        <v>0</v>
      </c>
      <c r="I313" s="232">
        <v>1</v>
      </c>
      <c r="J313" s="232">
        <v>0</v>
      </c>
      <c r="K313" s="232"/>
      <c r="L313" s="232" t="s">
        <v>8</v>
      </c>
      <c r="M313" s="232" t="s">
        <v>1032</v>
      </c>
      <c r="N313" s="232" t="s">
        <v>1449</v>
      </c>
      <c r="O313" s="232" t="s">
        <v>1268</v>
      </c>
      <c r="P313" s="232" t="s">
        <v>1032</v>
      </c>
      <c r="Q313" s="232" t="s">
        <v>1032</v>
      </c>
      <c r="R313" s="232" t="s">
        <v>1615</v>
      </c>
      <c r="S313" s="232" t="s">
        <v>1032</v>
      </c>
      <c r="T313" s="232" t="s">
        <v>1032</v>
      </c>
      <c r="U313" s="232" t="s">
        <v>40</v>
      </c>
      <c r="V313" s="232" t="s">
        <v>1032</v>
      </c>
      <c r="W313" s="232" t="s">
        <v>46</v>
      </c>
      <c r="X313" s="232">
        <f t="shared" si="4"/>
        <v>20</v>
      </c>
    </row>
    <row r="314" spans="1:24" ht="56" x14ac:dyDescent="0.3">
      <c r="A314" s="233" t="s">
        <v>834</v>
      </c>
      <c r="B314" s="232" t="s">
        <v>1518</v>
      </c>
      <c r="C314" s="232">
        <v>0</v>
      </c>
      <c r="D314" s="232">
        <v>0</v>
      </c>
      <c r="E314" s="232">
        <v>0</v>
      </c>
      <c r="F314" s="232">
        <v>0</v>
      </c>
      <c r="G314" s="232">
        <v>0</v>
      </c>
      <c r="H314" s="232">
        <v>0</v>
      </c>
      <c r="I314" s="232">
        <v>1</v>
      </c>
      <c r="J314" s="232">
        <v>0</v>
      </c>
      <c r="K314" s="232"/>
      <c r="L314" s="232" t="s">
        <v>8</v>
      </c>
      <c r="M314" s="232" t="s">
        <v>1032</v>
      </c>
      <c r="N314" s="232" t="s">
        <v>1449</v>
      </c>
      <c r="O314" s="232" t="s">
        <v>1200</v>
      </c>
      <c r="P314" s="232" t="s">
        <v>1032</v>
      </c>
      <c r="Q314" s="232" t="s">
        <v>1032</v>
      </c>
      <c r="R314" s="232"/>
      <c r="S314" s="232" t="s">
        <v>1032</v>
      </c>
      <c r="T314" s="232" t="s">
        <v>1032</v>
      </c>
      <c r="U314" s="232" t="s">
        <v>40</v>
      </c>
      <c r="V314" s="232" t="s">
        <v>1032</v>
      </c>
      <c r="W314" s="232" t="s">
        <v>41</v>
      </c>
      <c r="X314" s="232">
        <f t="shared" si="4"/>
        <v>5</v>
      </c>
    </row>
    <row r="315" spans="1:24" ht="56" x14ac:dyDescent="0.3">
      <c r="A315" s="233" t="s">
        <v>835</v>
      </c>
      <c r="B315" s="232" t="s">
        <v>1269</v>
      </c>
      <c r="C315" s="232">
        <v>0</v>
      </c>
      <c r="D315" s="232">
        <v>0</v>
      </c>
      <c r="E315" s="232">
        <v>0</v>
      </c>
      <c r="F315" s="232">
        <v>0</v>
      </c>
      <c r="G315" s="232">
        <v>0</v>
      </c>
      <c r="H315" s="232">
        <v>0</v>
      </c>
      <c r="I315" s="232">
        <v>1</v>
      </c>
      <c r="J315" s="232">
        <v>0</v>
      </c>
      <c r="K315" s="232"/>
      <c r="L315" s="232" t="s">
        <v>8</v>
      </c>
      <c r="M315" s="232" t="s">
        <v>1032</v>
      </c>
      <c r="N315" s="232" t="s">
        <v>1449</v>
      </c>
      <c r="O315" s="232" t="s">
        <v>1270</v>
      </c>
      <c r="P315" s="232" t="s">
        <v>1032</v>
      </c>
      <c r="Q315" s="232" t="s">
        <v>1032</v>
      </c>
      <c r="R315" s="232"/>
      <c r="S315" s="232" t="s">
        <v>1529</v>
      </c>
      <c r="T315" s="232" t="s">
        <v>1529</v>
      </c>
      <c r="U315" s="232" t="s">
        <v>40</v>
      </c>
      <c r="V315" s="232" t="s">
        <v>1032</v>
      </c>
      <c r="W315" s="232" t="s">
        <v>46</v>
      </c>
      <c r="X315" s="232">
        <f t="shared" si="4"/>
        <v>20</v>
      </c>
    </row>
    <row r="316" spans="1:24" ht="56" x14ac:dyDescent="0.3">
      <c r="A316" s="233" t="s">
        <v>836</v>
      </c>
      <c r="B316" s="232" t="s">
        <v>1271</v>
      </c>
      <c r="C316" s="232">
        <v>0</v>
      </c>
      <c r="D316" s="232">
        <v>0</v>
      </c>
      <c r="E316" s="232">
        <v>0</v>
      </c>
      <c r="F316" s="232">
        <v>0</v>
      </c>
      <c r="G316" s="232">
        <v>0</v>
      </c>
      <c r="H316" s="232">
        <v>0</v>
      </c>
      <c r="I316" s="232">
        <v>1</v>
      </c>
      <c r="J316" s="232">
        <v>0</v>
      </c>
      <c r="K316" s="232"/>
      <c r="L316" s="232" t="s">
        <v>8</v>
      </c>
      <c r="M316" s="232" t="s">
        <v>1032</v>
      </c>
      <c r="N316" s="232" t="s">
        <v>1449</v>
      </c>
      <c r="O316" s="232" t="s">
        <v>1272</v>
      </c>
      <c r="P316" s="232" t="s">
        <v>1032</v>
      </c>
      <c r="Q316" s="232" t="s">
        <v>1032</v>
      </c>
      <c r="R316" s="232"/>
      <c r="S316" s="232" t="s">
        <v>1032</v>
      </c>
      <c r="T316" s="232" t="s">
        <v>1032</v>
      </c>
      <c r="U316" s="232" t="s">
        <v>149</v>
      </c>
      <c r="V316" s="232" t="s">
        <v>1032</v>
      </c>
      <c r="W316" s="232" t="s">
        <v>46</v>
      </c>
      <c r="X316" s="232">
        <f t="shared" si="4"/>
        <v>20</v>
      </c>
    </row>
    <row r="317" spans="1:24" ht="56" x14ac:dyDescent="0.3">
      <c r="A317" s="233" t="s">
        <v>837</v>
      </c>
      <c r="B317" s="232" t="s">
        <v>1273</v>
      </c>
      <c r="C317" s="232">
        <v>0</v>
      </c>
      <c r="D317" s="232">
        <v>0</v>
      </c>
      <c r="E317" s="232">
        <v>0</v>
      </c>
      <c r="F317" s="232">
        <v>0</v>
      </c>
      <c r="G317" s="232">
        <v>0</v>
      </c>
      <c r="H317" s="232">
        <v>0</v>
      </c>
      <c r="I317" s="232">
        <v>1</v>
      </c>
      <c r="J317" s="232">
        <v>0</v>
      </c>
      <c r="K317" s="232"/>
      <c r="L317" s="232" t="s">
        <v>8</v>
      </c>
      <c r="M317" s="232" t="s">
        <v>1032</v>
      </c>
      <c r="N317" s="232" t="s">
        <v>1449</v>
      </c>
      <c r="O317" s="232" t="s">
        <v>841</v>
      </c>
      <c r="P317" s="232" t="s">
        <v>1032</v>
      </c>
      <c r="Q317" s="232" t="s">
        <v>1032</v>
      </c>
      <c r="R317" s="232"/>
      <c r="S317" s="232" t="s">
        <v>1032</v>
      </c>
      <c r="T317" s="232" t="s">
        <v>1032</v>
      </c>
      <c r="U317" s="232" t="s">
        <v>40</v>
      </c>
      <c r="V317" s="232" t="s">
        <v>1032</v>
      </c>
      <c r="W317" s="232" t="s">
        <v>46</v>
      </c>
      <c r="X317" s="232">
        <f t="shared" si="4"/>
        <v>20</v>
      </c>
    </row>
    <row r="318" spans="1:24" ht="70" x14ac:dyDescent="0.3">
      <c r="A318" s="233" t="s">
        <v>839</v>
      </c>
      <c r="B318" s="232" t="s">
        <v>1201</v>
      </c>
      <c r="C318" s="232">
        <v>0</v>
      </c>
      <c r="D318" s="232">
        <v>0</v>
      </c>
      <c r="E318" s="232">
        <v>0</v>
      </c>
      <c r="F318" s="232">
        <v>0</v>
      </c>
      <c r="G318" s="232">
        <v>0</v>
      </c>
      <c r="H318" s="232">
        <v>0</v>
      </c>
      <c r="I318" s="232">
        <v>1</v>
      </c>
      <c r="J318" s="232">
        <v>0</v>
      </c>
      <c r="K318" s="232"/>
      <c r="L318" s="232" t="s">
        <v>1062</v>
      </c>
      <c r="M318" s="232" t="s">
        <v>1032</v>
      </c>
      <c r="N318" s="232" t="s">
        <v>1449</v>
      </c>
      <c r="O318" s="232" t="s">
        <v>1519</v>
      </c>
      <c r="P318" s="232" t="s">
        <v>1032</v>
      </c>
      <c r="Q318" s="232" t="s">
        <v>1032</v>
      </c>
      <c r="R318" s="232"/>
      <c r="S318" s="232" t="s">
        <v>1032</v>
      </c>
      <c r="T318" s="232" t="s">
        <v>1032</v>
      </c>
      <c r="U318" s="232" t="s">
        <v>1062</v>
      </c>
      <c r="V318" s="232" t="s">
        <v>1032</v>
      </c>
      <c r="W318" s="232" t="s">
        <v>75</v>
      </c>
      <c r="X318" s="232">
        <f t="shared" si="4"/>
        <v>10</v>
      </c>
    </row>
    <row r="319" spans="1:24" ht="70" x14ac:dyDescent="0.3">
      <c r="A319" s="233" t="s">
        <v>840</v>
      </c>
      <c r="B319" s="232" t="s">
        <v>1202</v>
      </c>
      <c r="C319" s="232">
        <v>0</v>
      </c>
      <c r="D319" s="232">
        <v>0</v>
      </c>
      <c r="E319" s="232">
        <v>0</v>
      </c>
      <c r="F319" s="232">
        <v>0</v>
      </c>
      <c r="G319" s="232">
        <v>0</v>
      </c>
      <c r="H319" s="232">
        <v>0</v>
      </c>
      <c r="I319" s="232">
        <v>1</v>
      </c>
      <c r="J319" s="232">
        <v>0</v>
      </c>
      <c r="K319" s="232"/>
      <c r="L319" s="232" t="s">
        <v>8</v>
      </c>
      <c r="M319" s="232" t="s">
        <v>1032</v>
      </c>
      <c r="N319" s="232" t="s">
        <v>1449</v>
      </c>
      <c r="O319" s="232" t="s">
        <v>838</v>
      </c>
      <c r="P319" s="232" t="s">
        <v>1032</v>
      </c>
      <c r="Q319" s="232" t="s">
        <v>1032</v>
      </c>
      <c r="R319" s="232"/>
      <c r="S319" s="232" t="s">
        <v>1032</v>
      </c>
      <c r="T319" s="232" t="s">
        <v>1032</v>
      </c>
      <c r="U319" s="232" t="s">
        <v>40</v>
      </c>
      <c r="V319" s="232" t="s">
        <v>1032</v>
      </c>
      <c r="W319" s="232" t="s">
        <v>75</v>
      </c>
      <c r="X319" s="232">
        <f t="shared" ref="X319:X334" si="5">IF($W319="Critical Importance",20,IF($W319="Minor Importance",5,10))</f>
        <v>10</v>
      </c>
    </row>
    <row r="320" spans="1:24" ht="70" x14ac:dyDescent="0.3">
      <c r="A320" s="233" t="s">
        <v>842</v>
      </c>
      <c r="B320" s="232" t="s">
        <v>1556</v>
      </c>
      <c r="C320" s="232">
        <v>0</v>
      </c>
      <c r="D320" s="232">
        <v>0</v>
      </c>
      <c r="E320" s="232">
        <v>0</v>
      </c>
      <c r="F320" s="232">
        <v>0</v>
      </c>
      <c r="G320" s="232">
        <v>0</v>
      </c>
      <c r="H320" s="232">
        <v>0</v>
      </c>
      <c r="I320" s="232">
        <v>1</v>
      </c>
      <c r="J320" s="232">
        <v>0</v>
      </c>
      <c r="K320" s="232"/>
      <c r="L320" s="232" t="s">
        <v>8</v>
      </c>
      <c r="M320" s="232" t="s">
        <v>1032</v>
      </c>
      <c r="N320" s="232" t="s">
        <v>1450</v>
      </c>
      <c r="O320" s="232" t="s">
        <v>845</v>
      </c>
      <c r="P320" s="232" t="s">
        <v>1032</v>
      </c>
      <c r="Q320" s="232" t="s">
        <v>1032</v>
      </c>
      <c r="R320" s="232"/>
      <c r="S320" s="232" t="s">
        <v>1529</v>
      </c>
      <c r="T320" s="232" t="s">
        <v>1529</v>
      </c>
      <c r="U320" s="232" t="s">
        <v>40</v>
      </c>
      <c r="V320" s="232" t="s">
        <v>1032</v>
      </c>
      <c r="W320" s="232" t="s">
        <v>46</v>
      </c>
      <c r="X320" s="232">
        <f t="shared" si="5"/>
        <v>20</v>
      </c>
    </row>
    <row r="321" spans="1:24" ht="70" x14ac:dyDescent="0.3">
      <c r="A321" s="233" t="s">
        <v>844</v>
      </c>
      <c r="B321" s="232" t="s">
        <v>1084</v>
      </c>
      <c r="C321" s="232">
        <v>0</v>
      </c>
      <c r="D321" s="232">
        <v>0</v>
      </c>
      <c r="E321" s="232">
        <v>0</v>
      </c>
      <c r="F321" s="232">
        <v>0</v>
      </c>
      <c r="G321" s="232">
        <v>0</v>
      </c>
      <c r="H321" s="232">
        <v>0</v>
      </c>
      <c r="I321" s="232">
        <v>1</v>
      </c>
      <c r="J321" s="232">
        <v>0</v>
      </c>
      <c r="K321" s="232"/>
      <c r="L321" s="232" t="s">
        <v>8</v>
      </c>
      <c r="M321" s="232" t="s">
        <v>1032</v>
      </c>
      <c r="N321" s="232" t="s">
        <v>1450</v>
      </c>
      <c r="O321" s="232" t="s">
        <v>860</v>
      </c>
      <c r="P321" s="232" t="s">
        <v>1032</v>
      </c>
      <c r="Q321" s="232" t="s">
        <v>1032</v>
      </c>
      <c r="R321" s="232"/>
      <c r="S321" s="232" t="s">
        <v>1032</v>
      </c>
      <c r="T321" s="232" t="s">
        <v>1032</v>
      </c>
      <c r="U321" s="232" t="s">
        <v>40</v>
      </c>
      <c r="V321" s="232" t="s">
        <v>1032</v>
      </c>
      <c r="W321" s="232" t="s">
        <v>46</v>
      </c>
      <c r="X321" s="232">
        <f t="shared" si="5"/>
        <v>20</v>
      </c>
    </row>
    <row r="322" spans="1:24" ht="144.75" customHeight="1" x14ac:dyDescent="0.3">
      <c r="A322" s="233" t="s">
        <v>846</v>
      </c>
      <c r="B322" s="232" t="s">
        <v>1274</v>
      </c>
      <c r="C322" s="232">
        <v>0</v>
      </c>
      <c r="D322" s="232">
        <v>0</v>
      </c>
      <c r="E322" s="232">
        <v>0</v>
      </c>
      <c r="F322" s="232">
        <v>0</v>
      </c>
      <c r="G322" s="232">
        <v>0</v>
      </c>
      <c r="H322" s="232">
        <v>0</v>
      </c>
      <c r="I322" s="232">
        <v>1</v>
      </c>
      <c r="J322" s="232">
        <v>0</v>
      </c>
      <c r="K322" s="232"/>
      <c r="L322" s="232" t="s">
        <v>8</v>
      </c>
      <c r="M322" s="232" t="s">
        <v>1032</v>
      </c>
      <c r="N322" s="232" t="s">
        <v>1450</v>
      </c>
      <c r="O322" s="232" t="s">
        <v>843</v>
      </c>
      <c r="P322" s="232" t="s">
        <v>1032</v>
      </c>
      <c r="Q322" s="232" t="s">
        <v>1032</v>
      </c>
      <c r="R322" s="232"/>
      <c r="S322" s="232" t="s">
        <v>1032</v>
      </c>
      <c r="T322" s="232" t="s">
        <v>1032</v>
      </c>
      <c r="U322" s="232" t="s">
        <v>40</v>
      </c>
      <c r="V322" s="232" t="s">
        <v>1032</v>
      </c>
      <c r="W322" s="232" t="s">
        <v>75</v>
      </c>
      <c r="X322" s="232">
        <f t="shared" si="5"/>
        <v>10</v>
      </c>
    </row>
    <row r="323" spans="1:24" ht="90" customHeight="1" x14ac:dyDescent="0.3">
      <c r="A323" s="233" t="s">
        <v>849</v>
      </c>
      <c r="B323" s="232" t="s">
        <v>850</v>
      </c>
      <c r="C323" s="232">
        <v>0</v>
      </c>
      <c r="D323" s="232">
        <v>0</v>
      </c>
      <c r="E323" s="232">
        <v>0</v>
      </c>
      <c r="F323" s="232">
        <v>0</v>
      </c>
      <c r="G323" s="232">
        <v>0</v>
      </c>
      <c r="H323" s="232">
        <v>0</v>
      </c>
      <c r="I323" s="232">
        <v>1</v>
      </c>
      <c r="J323" s="232">
        <v>0</v>
      </c>
      <c r="K323" s="232"/>
      <c r="L323" s="232" t="s">
        <v>8</v>
      </c>
      <c r="M323" s="232" t="s">
        <v>1032</v>
      </c>
      <c r="N323" s="232" t="s">
        <v>1450</v>
      </c>
      <c r="O323" s="232" t="s">
        <v>851</v>
      </c>
      <c r="P323" s="232" t="s">
        <v>1032</v>
      </c>
      <c r="Q323" s="232" t="s">
        <v>1032</v>
      </c>
      <c r="R323" s="232"/>
      <c r="S323" s="232" t="s">
        <v>1032</v>
      </c>
      <c r="T323" s="232" t="s">
        <v>1032</v>
      </c>
      <c r="U323" s="232" t="s">
        <v>40</v>
      </c>
      <c r="V323" s="232" t="s">
        <v>1032</v>
      </c>
      <c r="W323" s="232" t="s">
        <v>75</v>
      </c>
      <c r="X323" s="232">
        <f t="shared" si="5"/>
        <v>10</v>
      </c>
    </row>
    <row r="324" spans="1:24" ht="90" customHeight="1" x14ac:dyDescent="0.3">
      <c r="A324" s="233" t="s">
        <v>852</v>
      </c>
      <c r="B324" s="232" t="s">
        <v>847</v>
      </c>
      <c r="C324" s="232">
        <v>0</v>
      </c>
      <c r="D324" s="232">
        <v>0</v>
      </c>
      <c r="E324" s="232">
        <v>0</v>
      </c>
      <c r="F324" s="232">
        <v>0</v>
      </c>
      <c r="G324" s="232">
        <v>0</v>
      </c>
      <c r="H324" s="232">
        <v>0</v>
      </c>
      <c r="I324" s="232">
        <v>1</v>
      </c>
      <c r="J324" s="232">
        <v>0</v>
      </c>
      <c r="K324" s="232"/>
      <c r="L324" s="232" t="s">
        <v>8</v>
      </c>
      <c r="M324" s="232" t="s">
        <v>1032</v>
      </c>
      <c r="N324" s="232" t="s">
        <v>1450</v>
      </c>
      <c r="O324" s="232" t="s">
        <v>848</v>
      </c>
      <c r="P324" s="232" t="s">
        <v>1032</v>
      </c>
      <c r="Q324" s="232" t="s">
        <v>1032</v>
      </c>
      <c r="R324" s="232"/>
      <c r="S324" s="232" t="s">
        <v>1032</v>
      </c>
      <c r="T324" s="232" t="s">
        <v>1032</v>
      </c>
      <c r="U324" s="232" t="s">
        <v>40</v>
      </c>
      <c r="V324" s="232" t="s">
        <v>1032</v>
      </c>
      <c r="W324" s="232" t="s">
        <v>41</v>
      </c>
      <c r="X324" s="232">
        <f t="shared" si="5"/>
        <v>5</v>
      </c>
    </row>
    <row r="325" spans="1:24" ht="90" customHeight="1" x14ac:dyDescent="0.3">
      <c r="A325" s="233" t="s">
        <v>854</v>
      </c>
      <c r="B325" s="232" t="s">
        <v>1203</v>
      </c>
      <c r="C325" s="232">
        <v>0</v>
      </c>
      <c r="D325" s="232">
        <v>0</v>
      </c>
      <c r="E325" s="232">
        <v>0</v>
      </c>
      <c r="F325" s="232">
        <v>0</v>
      </c>
      <c r="G325" s="232">
        <v>0</v>
      </c>
      <c r="H325" s="232">
        <v>0</v>
      </c>
      <c r="I325" s="232">
        <v>1</v>
      </c>
      <c r="J325" s="232">
        <v>0</v>
      </c>
      <c r="K325" s="232"/>
      <c r="L325" s="232" t="s">
        <v>8</v>
      </c>
      <c r="M325" s="232" t="s">
        <v>1032</v>
      </c>
      <c r="N325" s="232" t="s">
        <v>1450</v>
      </c>
      <c r="O325" s="232" t="s">
        <v>853</v>
      </c>
      <c r="P325" s="232" t="s">
        <v>1032</v>
      </c>
      <c r="Q325" s="232" t="s">
        <v>1032</v>
      </c>
      <c r="R325" s="232"/>
      <c r="S325" s="232" t="s">
        <v>1032</v>
      </c>
      <c r="T325" s="232" t="s">
        <v>1032</v>
      </c>
      <c r="U325" s="232" t="s">
        <v>40</v>
      </c>
      <c r="V325" s="232" t="s">
        <v>1032</v>
      </c>
      <c r="W325" s="232" t="s">
        <v>41</v>
      </c>
      <c r="X325" s="232">
        <f t="shared" si="5"/>
        <v>5</v>
      </c>
    </row>
    <row r="326" spans="1:24" ht="112" x14ac:dyDescent="0.3">
      <c r="A326" s="233" t="s">
        <v>856</v>
      </c>
      <c r="B326" s="232" t="s">
        <v>1204</v>
      </c>
      <c r="C326" s="232">
        <v>0</v>
      </c>
      <c r="D326" s="232">
        <v>0</v>
      </c>
      <c r="E326" s="232">
        <v>0</v>
      </c>
      <c r="F326" s="232">
        <v>0</v>
      </c>
      <c r="G326" s="232">
        <v>0</v>
      </c>
      <c r="H326" s="232">
        <v>0</v>
      </c>
      <c r="I326" s="232">
        <v>1</v>
      </c>
      <c r="J326" s="232">
        <v>0</v>
      </c>
      <c r="K326" s="232"/>
      <c r="L326" s="232" t="s">
        <v>8</v>
      </c>
      <c r="M326" s="232" t="s">
        <v>1032</v>
      </c>
      <c r="N326" s="232" t="s">
        <v>1450</v>
      </c>
      <c r="O326" s="232" t="s">
        <v>855</v>
      </c>
      <c r="P326" s="232" t="s">
        <v>1032</v>
      </c>
      <c r="Q326" s="232" t="s">
        <v>1032</v>
      </c>
      <c r="R326" s="232"/>
      <c r="S326" s="232" t="s">
        <v>1032</v>
      </c>
      <c r="T326" s="232" t="s">
        <v>1032</v>
      </c>
      <c r="U326" s="232" t="s">
        <v>40</v>
      </c>
      <c r="V326" s="232" t="s">
        <v>1032</v>
      </c>
      <c r="W326" s="232" t="s">
        <v>41</v>
      </c>
      <c r="X326" s="232">
        <f t="shared" si="5"/>
        <v>5</v>
      </c>
    </row>
    <row r="327" spans="1:24" ht="90" customHeight="1" x14ac:dyDescent="0.3">
      <c r="A327" s="233" t="s">
        <v>859</v>
      </c>
      <c r="B327" s="232" t="s">
        <v>857</v>
      </c>
      <c r="C327" s="232">
        <v>0</v>
      </c>
      <c r="D327" s="232">
        <v>0</v>
      </c>
      <c r="E327" s="232">
        <v>0</v>
      </c>
      <c r="F327" s="232">
        <v>0</v>
      </c>
      <c r="G327" s="232">
        <v>0</v>
      </c>
      <c r="H327" s="232">
        <v>0</v>
      </c>
      <c r="I327" s="232">
        <v>1</v>
      </c>
      <c r="J327" s="232">
        <v>0</v>
      </c>
      <c r="K327" s="232"/>
      <c r="L327" s="232" t="s">
        <v>8</v>
      </c>
      <c r="M327" s="232" t="s">
        <v>1032</v>
      </c>
      <c r="N327" s="232" t="s">
        <v>1450</v>
      </c>
      <c r="O327" s="232" t="s">
        <v>858</v>
      </c>
      <c r="P327" s="232" t="s">
        <v>1032</v>
      </c>
      <c r="Q327" s="232" t="s">
        <v>1032</v>
      </c>
      <c r="R327" s="232"/>
      <c r="S327" s="232" t="s">
        <v>1032</v>
      </c>
      <c r="T327" s="232" t="s">
        <v>1032</v>
      </c>
      <c r="U327" s="232" t="s">
        <v>40</v>
      </c>
      <c r="V327" s="232" t="s">
        <v>1032</v>
      </c>
      <c r="W327" s="232" t="s">
        <v>41</v>
      </c>
      <c r="X327" s="232">
        <f t="shared" si="5"/>
        <v>5</v>
      </c>
    </row>
    <row r="328" spans="1:24" ht="90" customHeight="1" x14ac:dyDescent="0.3">
      <c r="A328" s="233" t="s">
        <v>861</v>
      </c>
      <c r="B328" s="232" t="s">
        <v>1275</v>
      </c>
      <c r="C328" s="232">
        <v>0</v>
      </c>
      <c r="D328" s="232">
        <v>0</v>
      </c>
      <c r="E328" s="232">
        <v>0</v>
      </c>
      <c r="F328" s="232">
        <v>0</v>
      </c>
      <c r="G328" s="232">
        <v>0</v>
      </c>
      <c r="H328" s="232">
        <v>0</v>
      </c>
      <c r="I328" s="232">
        <v>1</v>
      </c>
      <c r="J328" s="232">
        <v>0</v>
      </c>
      <c r="K328" s="232"/>
      <c r="L328" s="232" t="s">
        <v>8</v>
      </c>
      <c r="M328" s="232" t="s">
        <v>1032</v>
      </c>
      <c r="N328" s="232" t="s">
        <v>1450</v>
      </c>
      <c r="O328" s="232" t="s">
        <v>1205</v>
      </c>
      <c r="P328" s="232" t="s">
        <v>1032</v>
      </c>
      <c r="Q328" s="232" t="s">
        <v>1032</v>
      </c>
      <c r="R328" s="232"/>
      <c r="S328" s="232" t="s">
        <v>1529</v>
      </c>
      <c r="T328" s="232" t="s">
        <v>1529</v>
      </c>
      <c r="U328" s="232" t="s">
        <v>40</v>
      </c>
      <c r="V328" s="232" t="s">
        <v>1032</v>
      </c>
      <c r="W328" s="232" t="s">
        <v>46</v>
      </c>
      <c r="X328" s="232">
        <f t="shared" si="5"/>
        <v>20</v>
      </c>
    </row>
    <row r="329" spans="1:24" ht="126" x14ac:dyDescent="0.3">
      <c r="A329" s="233" t="s">
        <v>862</v>
      </c>
      <c r="B329" s="232" t="s">
        <v>1276</v>
      </c>
      <c r="C329" s="232">
        <v>0</v>
      </c>
      <c r="D329" s="232">
        <v>0</v>
      </c>
      <c r="E329" s="232">
        <v>0</v>
      </c>
      <c r="F329" s="232">
        <v>0</v>
      </c>
      <c r="G329" s="232">
        <v>0</v>
      </c>
      <c r="H329" s="232">
        <v>0</v>
      </c>
      <c r="I329" s="232">
        <v>1</v>
      </c>
      <c r="J329" s="232">
        <v>0</v>
      </c>
      <c r="K329" s="232"/>
      <c r="L329" s="232" t="s">
        <v>8</v>
      </c>
      <c r="M329" s="232" t="s">
        <v>1032</v>
      </c>
      <c r="N329" s="232" t="s">
        <v>1451</v>
      </c>
      <c r="O329" s="232" t="s">
        <v>863</v>
      </c>
      <c r="P329" s="232" t="s">
        <v>1032</v>
      </c>
      <c r="Q329" s="232" t="s">
        <v>1032</v>
      </c>
      <c r="R329" s="232"/>
      <c r="S329" s="232" t="s">
        <v>1032</v>
      </c>
      <c r="T329" s="232" t="s">
        <v>1032</v>
      </c>
      <c r="U329" s="232" t="s">
        <v>40</v>
      </c>
      <c r="V329" s="232" t="s">
        <v>1032</v>
      </c>
      <c r="W329" s="232" t="s">
        <v>46</v>
      </c>
      <c r="X329" s="232">
        <f t="shared" si="5"/>
        <v>20</v>
      </c>
    </row>
    <row r="330" spans="1:24" ht="90" customHeight="1" x14ac:dyDescent="0.3">
      <c r="A330" s="233" t="s">
        <v>864</v>
      </c>
      <c r="B330" s="232" t="s">
        <v>1277</v>
      </c>
      <c r="C330" s="232">
        <v>0</v>
      </c>
      <c r="D330" s="232">
        <v>0</v>
      </c>
      <c r="E330" s="232">
        <v>0</v>
      </c>
      <c r="F330" s="232">
        <v>0</v>
      </c>
      <c r="G330" s="232">
        <v>0</v>
      </c>
      <c r="H330" s="232">
        <v>0</v>
      </c>
      <c r="I330" s="232">
        <v>1</v>
      </c>
      <c r="J330" s="232">
        <v>0</v>
      </c>
      <c r="K330" s="232"/>
      <c r="L330" s="232" t="s">
        <v>8</v>
      </c>
      <c r="M330" s="232" t="s">
        <v>1032</v>
      </c>
      <c r="N330" s="232" t="s">
        <v>1451</v>
      </c>
      <c r="O330" s="232" t="s">
        <v>867</v>
      </c>
      <c r="P330" s="232" t="s">
        <v>1032</v>
      </c>
      <c r="Q330" s="232" t="s">
        <v>1032</v>
      </c>
      <c r="R330" s="232"/>
      <c r="S330" s="232" t="s">
        <v>1032</v>
      </c>
      <c r="T330" s="232" t="s">
        <v>1032</v>
      </c>
      <c r="U330" s="232" t="s">
        <v>40</v>
      </c>
      <c r="V330" s="232" t="s">
        <v>1032</v>
      </c>
      <c r="W330" s="232" t="s">
        <v>46</v>
      </c>
      <c r="X330" s="232">
        <f t="shared" si="5"/>
        <v>20</v>
      </c>
    </row>
    <row r="331" spans="1:24" ht="90" customHeight="1" x14ac:dyDescent="0.3">
      <c r="A331" s="233" t="s">
        <v>866</v>
      </c>
      <c r="B331" s="232" t="s">
        <v>1206</v>
      </c>
      <c r="C331" s="232">
        <v>0</v>
      </c>
      <c r="D331" s="232">
        <v>0</v>
      </c>
      <c r="E331" s="232">
        <v>0</v>
      </c>
      <c r="F331" s="232">
        <v>0</v>
      </c>
      <c r="G331" s="232">
        <v>0</v>
      </c>
      <c r="H331" s="232">
        <v>0</v>
      </c>
      <c r="I331" s="232">
        <v>1</v>
      </c>
      <c r="J331" s="232">
        <v>0</v>
      </c>
      <c r="K331" s="232"/>
      <c r="L331" s="232" t="s">
        <v>8</v>
      </c>
      <c r="M331" s="232" t="s">
        <v>1032</v>
      </c>
      <c r="N331" s="232" t="s">
        <v>1452</v>
      </c>
      <c r="O331" s="232" t="s">
        <v>869</v>
      </c>
      <c r="P331" s="232" t="s">
        <v>1032</v>
      </c>
      <c r="Q331" s="232" t="s">
        <v>1032</v>
      </c>
      <c r="R331" s="232"/>
      <c r="S331" s="232" t="s">
        <v>1032</v>
      </c>
      <c r="T331" s="232" t="s">
        <v>1032</v>
      </c>
      <c r="U331" s="232" t="s">
        <v>40</v>
      </c>
      <c r="V331" s="232" t="s">
        <v>1032</v>
      </c>
      <c r="W331" s="232" t="s">
        <v>46</v>
      </c>
      <c r="X331" s="232">
        <f t="shared" si="5"/>
        <v>20</v>
      </c>
    </row>
    <row r="332" spans="1:24" ht="90" customHeight="1" x14ac:dyDescent="0.3">
      <c r="A332" s="233" t="s">
        <v>868</v>
      </c>
      <c r="B332" s="232" t="s">
        <v>1278</v>
      </c>
      <c r="C332" s="232">
        <v>0</v>
      </c>
      <c r="D332" s="232">
        <v>0</v>
      </c>
      <c r="E332" s="232">
        <v>0</v>
      </c>
      <c r="F332" s="232">
        <v>0</v>
      </c>
      <c r="G332" s="232">
        <v>0</v>
      </c>
      <c r="H332" s="232">
        <v>0</v>
      </c>
      <c r="I332" s="232">
        <v>1</v>
      </c>
      <c r="J332" s="232">
        <v>0</v>
      </c>
      <c r="K332" s="232"/>
      <c r="L332" s="232" t="s">
        <v>8</v>
      </c>
      <c r="M332" s="232" t="s">
        <v>1032</v>
      </c>
      <c r="N332" s="232" t="s">
        <v>1451</v>
      </c>
      <c r="O332" s="232" t="s">
        <v>865</v>
      </c>
      <c r="P332" s="232" t="s">
        <v>1032</v>
      </c>
      <c r="Q332" s="232" t="s">
        <v>1032</v>
      </c>
      <c r="R332" s="232"/>
      <c r="S332" s="232" t="s">
        <v>1032</v>
      </c>
      <c r="T332" s="232" t="s">
        <v>1032</v>
      </c>
      <c r="U332" s="232" t="s">
        <v>40</v>
      </c>
      <c r="V332" s="232" t="s">
        <v>1032</v>
      </c>
      <c r="W332" s="232" t="s">
        <v>75</v>
      </c>
      <c r="X332" s="232">
        <f t="shared" si="5"/>
        <v>10</v>
      </c>
    </row>
    <row r="333" spans="1:24" ht="90" customHeight="1" x14ac:dyDescent="0.3">
      <c r="A333" s="233" t="s">
        <v>870</v>
      </c>
      <c r="B333" s="232" t="s">
        <v>874</v>
      </c>
      <c r="C333" s="232">
        <v>0</v>
      </c>
      <c r="D333" s="232">
        <v>0</v>
      </c>
      <c r="E333" s="232">
        <v>0</v>
      </c>
      <c r="F333" s="232">
        <v>0</v>
      </c>
      <c r="G333" s="232">
        <v>0</v>
      </c>
      <c r="H333" s="232">
        <v>0</v>
      </c>
      <c r="I333" s="232">
        <v>1</v>
      </c>
      <c r="J333" s="232">
        <v>0</v>
      </c>
      <c r="K333" s="232"/>
      <c r="L333" s="232" t="s">
        <v>8</v>
      </c>
      <c r="M333" s="232" t="s">
        <v>1032</v>
      </c>
      <c r="N333" s="232" t="s">
        <v>1451</v>
      </c>
      <c r="O333" s="232" t="s">
        <v>875</v>
      </c>
      <c r="P333" s="232" t="s">
        <v>1032</v>
      </c>
      <c r="Q333" s="232" t="s">
        <v>1032</v>
      </c>
      <c r="R333" s="232"/>
      <c r="S333" s="232" t="s">
        <v>1032</v>
      </c>
      <c r="T333" s="232" t="s">
        <v>1032</v>
      </c>
      <c r="U333" s="232" t="s">
        <v>40</v>
      </c>
      <c r="V333" s="232" t="s">
        <v>1032</v>
      </c>
      <c r="W333" s="232" t="s">
        <v>75</v>
      </c>
      <c r="X333" s="232">
        <f t="shared" si="5"/>
        <v>10</v>
      </c>
    </row>
    <row r="334" spans="1:24" ht="90" customHeight="1" x14ac:dyDescent="0.3">
      <c r="A334" s="233" t="s">
        <v>873</v>
      </c>
      <c r="B334" s="232" t="s">
        <v>871</v>
      </c>
      <c r="C334" s="232">
        <v>0</v>
      </c>
      <c r="D334" s="232">
        <v>0</v>
      </c>
      <c r="E334" s="232">
        <v>0</v>
      </c>
      <c r="F334" s="232">
        <v>0</v>
      </c>
      <c r="G334" s="232">
        <v>0</v>
      </c>
      <c r="H334" s="232">
        <v>0</v>
      </c>
      <c r="I334" s="232">
        <v>1</v>
      </c>
      <c r="J334" s="232">
        <v>0</v>
      </c>
      <c r="K334" s="232"/>
      <c r="L334" s="232" t="s">
        <v>8</v>
      </c>
      <c r="M334" s="232" t="s">
        <v>1032</v>
      </c>
      <c r="N334" s="232" t="s">
        <v>1451</v>
      </c>
      <c r="O334" s="232" t="s">
        <v>872</v>
      </c>
      <c r="P334" s="232" t="s">
        <v>1032</v>
      </c>
      <c r="Q334" s="232" t="s">
        <v>1032</v>
      </c>
      <c r="R334" s="232"/>
      <c r="S334" s="232" t="s">
        <v>1032</v>
      </c>
      <c r="T334" s="232" t="s">
        <v>1032</v>
      </c>
      <c r="U334" s="232" t="s">
        <v>40</v>
      </c>
      <c r="V334" s="232" t="s">
        <v>1032</v>
      </c>
      <c r="W334" s="232" t="s">
        <v>41</v>
      </c>
      <c r="X334" s="232">
        <f t="shared" si="5"/>
        <v>5</v>
      </c>
    </row>
    <row r="335" spans="1:24" ht="14" x14ac:dyDescent="0.3">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row>
    <row r="336" spans="1:24" ht="14" x14ac:dyDescent="0.3">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row>
    <row r="337" spans="1:24" ht="14" x14ac:dyDescent="0.3">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row>
    <row r="338" spans="1:24" ht="14" x14ac:dyDescent="0.3">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row>
    <row r="339" spans="1:24" ht="14" x14ac:dyDescent="0.3">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row>
    <row r="340" spans="1:24" ht="14" x14ac:dyDescent="0.3">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row>
    <row r="341" spans="1:24" ht="14" x14ac:dyDescent="0.3">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row>
    <row r="342" spans="1:24" ht="14" x14ac:dyDescent="0.3">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row>
    <row r="343" spans="1:24" ht="14" x14ac:dyDescent="0.3">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row>
    <row r="344" spans="1:24" ht="14" x14ac:dyDescent="0.3">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row>
    <row r="345" spans="1:24" ht="14" x14ac:dyDescent="0.3">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row>
    <row r="346" spans="1:24" ht="14" x14ac:dyDescent="0.3">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row>
    <row r="347" spans="1:24" ht="14" x14ac:dyDescent="0.3">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row>
    <row r="348" spans="1:24" ht="14" x14ac:dyDescent="0.3">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row>
    <row r="349" spans="1:24" ht="14" x14ac:dyDescent="0.3">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row>
    <row r="350" spans="1:24" ht="14" x14ac:dyDescent="0.3">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row>
    <row r="351" spans="1:24" ht="14" x14ac:dyDescent="0.3">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row>
    <row r="352" spans="1:24" ht="14" x14ac:dyDescent="0.3">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row>
    <row r="353" spans="1:24" ht="14" x14ac:dyDescent="0.3">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row>
    <row r="354" spans="1:24" ht="14" x14ac:dyDescent="0.3">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row>
    <row r="355" spans="1:24" ht="14" x14ac:dyDescent="0.3">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row>
    <row r="356" spans="1:24" ht="14" x14ac:dyDescent="0.3">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row>
    <row r="357" spans="1:24" ht="14" x14ac:dyDescent="0.3">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row>
    <row r="358" spans="1:24" ht="14" x14ac:dyDescent="0.3">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row>
    <row r="359" spans="1:24" ht="14" x14ac:dyDescent="0.3">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row>
    <row r="360" spans="1:24" ht="14" x14ac:dyDescent="0.3">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row>
    <row r="361" spans="1:24" ht="14" x14ac:dyDescent="0.3">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row>
    <row r="362" spans="1:24" ht="14" x14ac:dyDescent="0.3">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row>
    <row r="363" spans="1:24" ht="14" x14ac:dyDescent="0.3">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row>
    <row r="364" spans="1:24" ht="14" x14ac:dyDescent="0.3">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row>
    <row r="365" spans="1:24" ht="14" x14ac:dyDescent="0.3">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row>
    <row r="366" spans="1:24" ht="14" x14ac:dyDescent="0.3">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row>
    <row r="367" spans="1:24" ht="14" x14ac:dyDescent="0.3">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row>
    <row r="368" spans="1:24" ht="14" x14ac:dyDescent="0.3">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row>
    <row r="369" spans="1:24" ht="14" x14ac:dyDescent="0.3">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row>
    <row r="370" spans="1:24" ht="14" x14ac:dyDescent="0.3">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row>
    <row r="371" spans="1:24" ht="14" x14ac:dyDescent="0.3">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row>
    <row r="372" spans="1:24" ht="14" x14ac:dyDescent="0.3">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row>
    <row r="373" spans="1:24" ht="14" x14ac:dyDescent="0.3">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row>
    <row r="374" spans="1:24" ht="14" x14ac:dyDescent="0.3">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row>
    <row r="375" spans="1:24" ht="14" x14ac:dyDescent="0.3">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row>
    <row r="376" spans="1:24" ht="14" x14ac:dyDescent="0.3">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row>
    <row r="377" spans="1:24" ht="14" x14ac:dyDescent="0.3">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row>
    <row r="378" spans="1:24" ht="14" x14ac:dyDescent="0.3">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row>
    <row r="379" spans="1:24" ht="14" x14ac:dyDescent="0.3">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row>
    <row r="380" spans="1:24" ht="14" x14ac:dyDescent="0.3">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row>
    <row r="381" spans="1:24" ht="14" x14ac:dyDescent="0.3">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row>
    <row r="382" spans="1:24" ht="14" x14ac:dyDescent="0.3">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row>
    <row r="383" spans="1:24" ht="14" x14ac:dyDescent="0.3">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row>
    <row r="384" spans="1:24" ht="14" x14ac:dyDescent="0.3">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row>
    <row r="385" spans="1:24" ht="14" x14ac:dyDescent="0.3">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row>
    <row r="386" spans="1:24" ht="14" x14ac:dyDescent="0.3">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row>
    <row r="387" spans="1:24" ht="14" x14ac:dyDescent="0.3">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row>
    <row r="388" spans="1:24" ht="14" x14ac:dyDescent="0.3">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row>
    <row r="389" spans="1:24" ht="14" x14ac:dyDescent="0.3">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row>
    <row r="390" spans="1:24" ht="14" x14ac:dyDescent="0.3">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row>
    <row r="391" spans="1:24" ht="14" x14ac:dyDescent="0.3">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row>
    <row r="392" spans="1:24" ht="14" x14ac:dyDescent="0.3">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row>
    <row r="393" spans="1:24" ht="14" x14ac:dyDescent="0.3">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row>
    <row r="394" spans="1:24" ht="14" x14ac:dyDescent="0.3">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row>
    <row r="395" spans="1:24" ht="14" x14ac:dyDescent="0.3">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row>
    <row r="396" spans="1:24" ht="14" x14ac:dyDescent="0.3">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row>
    <row r="397" spans="1:24" ht="14" x14ac:dyDescent="0.3">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row>
    <row r="398" spans="1:24" ht="14" x14ac:dyDescent="0.3">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row>
    <row r="399" spans="1:24" ht="14" x14ac:dyDescent="0.3">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row>
    <row r="400" spans="1:24" ht="14" x14ac:dyDescent="0.3">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row>
    <row r="401" spans="1:24" ht="14" x14ac:dyDescent="0.3">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row>
    <row r="402" spans="1:24" ht="14" x14ac:dyDescent="0.3">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row>
    <row r="403" spans="1:24" ht="14" x14ac:dyDescent="0.3">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row>
    <row r="404" spans="1:24" ht="14" x14ac:dyDescent="0.3">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row>
    <row r="405" spans="1:24" ht="14" x14ac:dyDescent="0.3">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row>
    <row r="406" spans="1:24" ht="14" x14ac:dyDescent="0.3">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row>
    <row r="407" spans="1:24" ht="14" x14ac:dyDescent="0.3">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row>
    <row r="408" spans="1:24" ht="14" x14ac:dyDescent="0.3">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row>
    <row r="409" spans="1:24" ht="14" x14ac:dyDescent="0.3">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row>
    <row r="410" spans="1:24" ht="14" x14ac:dyDescent="0.3">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row>
    <row r="411" spans="1:24" ht="14" x14ac:dyDescent="0.3">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row>
    <row r="412" spans="1:24" ht="14" x14ac:dyDescent="0.3">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row>
    <row r="413" spans="1:24" ht="14" x14ac:dyDescent="0.3">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row>
    <row r="414" spans="1:24" ht="14" x14ac:dyDescent="0.3">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row>
    <row r="415" spans="1:24" ht="14" x14ac:dyDescent="0.3">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row>
    <row r="416" spans="1:24" ht="14" x14ac:dyDescent="0.3">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row>
    <row r="417" spans="1:24" ht="14" x14ac:dyDescent="0.3">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row>
    <row r="418" spans="1:24" ht="14" x14ac:dyDescent="0.3">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row>
    <row r="419" spans="1:24" ht="14" x14ac:dyDescent="0.3">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row>
    <row r="420" spans="1:24" ht="14" x14ac:dyDescent="0.3">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row>
    <row r="421" spans="1:24" ht="14" x14ac:dyDescent="0.3">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row>
    <row r="422" spans="1:24" ht="14" x14ac:dyDescent="0.3">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row>
    <row r="423" spans="1:24" ht="14" x14ac:dyDescent="0.3">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row>
    <row r="424" spans="1:24" ht="14" x14ac:dyDescent="0.3">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row>
    <row r="425" spans="1:24" ht="14" x14ac:dyDescent="0.3">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row>
    <row r="426" spans="1:24" ht="14" x14ac:dyDescent="0.3">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row>
    <row r="427" spans="1:24" ht="14" x14ac:dyDescent="0.3">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row>
    <row r="428" spans="1:24" ht="14" x14ac:dyDescent="0.3">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row>
    <row r="429" spans="1:24" ht="14" x14ac:dyDescent="0.3">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row>
    <row r="430" spans="1:24" ht="14" x14ac:dyDescent="0.3">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row>
    <row r="431" spans="1:24" ht="14" x14ac:dyDescent="0.3">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row>
    <row r="432" spans="1:24" ht="14" x14ac:dyDescent="0.3">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row>
    <row r="433" spans="1:24" ht="14" x14ac:dyDescent="0.3">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row>
    <row r="434" spans="1:24" ht="14" x14ac:dyDescent="0.3">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row>
    <row r="435" spans="1:24" ht="14" x14ac:dyDescent="0.3">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row>
    <row r="436" spans="1:24" ht="14" x14ac:dyDescent="0.3">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row>
    <row r="437" spans="1:24" ht="14" x14ac:dyDescent="0.3">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row>
    <row r="438" spans="1:24" ht="14" x14ac:dyDescent="0.3">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row>
    <row r="439" spans="1:24" ht="14" x14ac:dyDescent="0.3">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row>
    <row r="440" spans="1:24" ht="14" x14ac:dyDescent="0.3">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row>
    <row r="441" spans="1:24" ht="14" x14ac:dyDescent="0.3">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row>
    <row r="442" spans="1:24" ht="14" x14ac:dyDescent="0.3">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row>
    <row r="443" spans="1:24" ht="14" x14ac:dyDescent="0.3">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row>
    <row r="444" spans="1:24" ht="14" x14ac:dyDescent="0.3">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row>
    <row r="445" spans="1:24" ht="14" x14ac:dyDescent="0.3">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row>
    <row r="446" spans="1:24" ht="14" x14ac:dyDescent="0.3">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row>
    <row r="447" spans="1:24" ht="14" x14ac:dyDescent="0.3">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row>
    <row r="448" spans="1:24" ht="14" x14ac:dyDescent="0.3">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row>
    <row r="449" spans="1:24" ht="14" x14ac:dyDescent="0.3">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row>
    <row r="450" spans="1:24" ht="14" x14ac:dyDescent="0.3">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row>
    <row r="451" spans="1:24" ht="14" x14ac:dyDescent="0.3">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row>
    <row r="452" spans="1:24" ht="14" x14ac:dyDescent="0.3">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row>
    <row r="453" spans="1:24" ht="14" x14ac:dyDescent="0.3">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row>
    <row r="454" spans="1:24" ht="14" x14ac:dyDescent="0.3">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row>
    <row r="455" spans="1:24" ht="14" x14ac:dyDescent="0.3">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row>
    <row r="456" spans="1:24" ht="14" x14ac:dyDescent="0.3">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row>
    <row r="457" spans="1:24" ht="14" x14ac:dyDescent="0.3">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row>
    <row r="458" spans="1:24" ht="14" x14ac:dyDescent="0.3">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row>
    <row r="459" spans="1:24" ht="14" x14ac:dyDescent="0.3">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row>
    <row r="460" spans="1:24" ht="14" x14ac:dyDescent="0.3">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row>
    <row r="461" spans="1:24" ht="14" x14ac:dyDescent="0.3">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row>
    <row r="462" spans="1:24" ht="14" x14ac:dyDescent="0.3">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row>
    <row r="463" spans="1:24" ht="14" x14ac:dyDescent="0.3">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row>
    <row r="464" spans="1:24" ht="14" x14ac:dyDescent="0.3">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row>
    <row r="465" spans="1:24" ht="14" x14ac:dyDescent="0.3">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row>
    <row r="466" spans="1:24" ht="14" x14ac:dyDescent="0.3">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row>
    <row r="467" spans="1:24" ht="14" x14ac:dyDescent="0.3">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row>
    <row r="468" spans="1:24" ht="14" x14ac:dyDescent="0.3">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row>
    <row r="469" spans="1:24" ht="14" x14ac:dyDescent="0.3">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row>
    <row r="470" spans="1:24" ht="14" x14ac:dyDescent="0.3">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row>
    <row r="471" spans="1:24" ht="14" x14ac:dyDescent="0.3">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row>
    <row r="472" spans="1:24" ht="14" x14ac:dyDescent="0.3">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row>
    <row r="473" spans="1:24" ht="14" x14ac:dyDescent="0.3">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row>
    <row r="474" spans="1:24" ht="14" x14ac:dyDescent="0.3">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row>
    <row r="475" spans="1:24" ht="14" x14ac:dyDescent="0.3">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row>
    <row r="476" spans="1:24" ht="14" x14ac:dyDescent="0.3">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row>
    <row r="477" spans="1:24" ht="14" x14ac:dyDescent="0.3">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row>
    <row r="478" spans="1:24" ht="14" x14ac:dyDescent="0.3">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row>
    <row r="479" spans="1:24" ht="14" x14ac:dyDescent="0.3">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row>
    <row r="480" spans="1:24" ht="14" x14ac:dyDescent="0.3">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row>
    <row r="481" spans="1:24" ht="14" x14ac:dyDescent="0.3">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row>
    <row r="482" spans="1:24" ht="14" x14ac:dyDescent="0.3">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row>
    <row r="483" spans="1:24" ht="14" x14ac:dyDescent="0.3">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row>
    <row r="484" spans="1:24" ht="14" x14ac:dyDescent="0.3">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row>
    <row r="485" spans="1:24" ht="14" x14ac:dyDescent="0.3">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row>
    <row r="486" spans="1:24" ht="14" x14ac:dyDescent="0.3">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row>
    <row r="487" spans="1:24" ht="14" x14ac:dyDescent="0.3">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row>
    <row r="488" spans="1:24" ht="14" x14ac:dyDescent="0.3">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row>
    <row r="489" spans="1:24" ht="14" x14ac:dyDescent="0.3">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row>
    <row r="490" spans="1:24" ht="14" x14ac:dyDescent="0.3">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row>
    <row r="491" spans="1:24" ht="14" x14ac:dyDescent="0.3">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row>
    <row r="492" spans="1:24" ht="14" x14ac:dyDescent="0.3">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row>
    <row r="493" spans="1:24" ht="14" x14ac:dyDescent="0.3">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row>
    <row r="494" spans="1:24" ht="14" x14ac:dyDescent="0.3">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row>
    <row r="495" spans="1:24" ht="14" x14ac:dyDescent="0.3">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row>
    <row r="496" spans="1:24" ht="14" x14ac:dyDescent="0.3">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row>
    <row r="497" spans="1:24" ht="14" x14ac:dyDescent="0.3">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row>
    <row r="498" spans="1:24" ht="14" x14ac:dyDescent="0.3">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row>
    <row r="499" spans="1:24" ht="14" x14ac:dyDescent="0.3">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row>
    <row r="500" spans="1:24" ht="14" x14ac:dyDescent="0.3">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row>
    <row r="501" spans="1:24" ht="14" x14ac:dyDescent="0.3">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row>
    <row r="502" spans="1:24" ht="14" x14ac:dyDescent="0.3">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row>
    <row r="503" spans="1:24" ht="14" x14ac:dyDescent="0.3">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row>
    <row r="504" spans="1:24" ht="14" x14ac:dyDescent="0.3">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row>
    <row r="505" spans="1:24" ht="14" x14ac:dyDescent="0.3">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row>
    <row r="506" spans="1:24" ht="14" x14ac:dyDescent="0.3">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row>
    <row r="507" spans="1:24" ht="14" x14ac:dyDescent="0.3">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row>
    <row r="508" spans="1:24" ht="14" x14ac:dyDescent="0.3">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row>
    <row r="509" spans="1:24" ht="14" x14ac:dyDescent="0.3">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row>
    <row r="510" spans="1:24" ht="14" x14ac:dyDescent="0.3">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row>
    <row r="511" spans="1:24" ht="14" x14ac:dyDescent="0.3">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row>
    <row r="512" spans="1:24" ht="14" x14ac:dyDescent="0.3">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row>
    <row r="513" spans="1:24" ht="14" x14ac:dyDescent="0.3">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row>
    <row r="514" spans="1:24" ht="14" x14ac:dyDescent="0.3">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row>
    <row r="515" spans="1:24" ht="14" x14ac:dyDescent="0.3">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row>
    <row r="516" spans="1:24" ht="14" x14ac:dyDescent="0.3">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row>
    <row r="517" spans="1:24" ht="14" x14ac:dyDescent="0.3">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row>
    <row r="518" spans="1:24" ht="14" x14ac:dyDescent="0.3">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row>
    <row r="519" spans="1:24" ht="14" x14ac:dyDescent="0.3">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row>
    <row r="520" spans="1:24" ht="14" x14ac:dyDescent="0.3">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row>
    <row r="521" spans="1:24" ht="14" x14ac:dyDescent="0.3">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row>
    <row r="522" spans="1:24" ht="14" x14ac:dyDescent="0.3">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row>
    <row r="523" spans="1:24" ht="14" x14ac:dyDescent="0.3">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row>
    <row r="524" spans="1:24" ht="14" x14ac:dyDescent="0.3">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row>
    <row r="525" spans="1:24" ht="14" x14ac:dyDescent="0.3">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row>
    <row r="526" spans="1:24" ht="14" x14ac:dyDescent="0.3">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row>
    <row r="527" spans="1:24" ht="14" x14ac:dyDescent="0.3">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row>
    <row r="528" spans="1:24" ht="14" x14ac:dyDescent="0.3">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row>
    <row r="529" spans="1:24" ht="14" x14ac:dyDescent="0.3">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row>
    <row r="530" spans="1:24" ht="14" x14ac:dyDescent="0.3">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row>
    <row r="531" spans="1:24" ht="14" x14ac:dyDescent="0.3">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row>
    <row r="532" spans="1:24" ht="14" x14ac:dyDescent="0.3">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row>
    <row r="533" spans="1:24" ht="14" x14ac:dyDescent="0.3">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row>
    <row r="534" spans="1:24" ht="14" x14ac:dyDescent="0.3">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row>
    <row r="535" spans="1:24" ht="14" x14ac:dyDescent="0.3">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row>
    <row r="536" spans="1:24" ht="14" x14ac:dyDescent="0.3">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row>
    <row r="537" spans="1:24" ht="14" x14ac:dyDescent="0.3">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row>
    <row r="538" spans="1:24" ht="14" x14ac:dyDescent="0.3">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row>
    <row r="539" spans="1:24" ht="14" x14ac:dyDescent="0.3">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row>
    <row r="540" spans="1:24" ht="14" x14ac:dyDescent="0.3">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row>
    <row r="541" spans="1:24" ht="14" x14ac:dyDescent="0.3">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row>
    <row r="542" spans="1:24" ht="14" x14ac:dyDescent="0.3">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row>
    <row r="543" spans="1:24" ht="14" x14ac:dyDescent="0.3">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row>
    <row r="544" spans="1:24" ht="14" x14ac:dyDescent="0.3">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row>
    <row r="545" spans="1:24" ht="14" x14ac:dyDescent="0.3">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row>
    <row r="546" spans="1:24" ht="14" x14ac:dyDescent="0.3">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row>
    <row r="547" spans="1:24" ht="14" x14ac:dyDescent="0.3">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row>
    <row r="548" spans="1:24" ht="14" x14ac:dyDescent="0.3">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row>
    <row r="549" spans="1:24" ht="14" x14ac:dyDescent="0.3">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row>
    <row r="550" spans="1:24" ht="14" x14ac:dyDescent="0.3">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row>
    <row r="551" spans="1:24" ht="14" x14ac:dyDescent="0.3">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row>
    <row r="552" spans="1:24" ht="14" x14ac:dyDescent="0.3">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row>
    <row r="553" spans="1:24" ht="14" x14ac:dyDescent="0.3">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row>
    <row r="554" spans="1:24" ht="14" x14ac:dyDescent="0.3">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row>
    <row r="555" spans="1:24" ht="14" x14ac:dyDescent="0.3">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row>
    <row r="556" spans="1:24" ht="14" x14ac:dyDescent="0.3">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row>
    <row r="557" spans="1:24" ht="14" x14ac:dyDescent="0.3">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row>
    <row r="558" spans="1:24" ht="14" x14ac:dyDescent="0.3">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row>
    <row r="559" spans="1:24" ht="14" x14ac:dyDescent="0.3">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row>
    <row r="560" spans="1:24" ht="14" x14ac:dyDescent="0.3">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row>
    <row r="561" spans="1:24" ht="14" x14ac:dyDescent="0.3">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row>
    <row r="562" spans="1:24" ht="14" x14ac:dyDescent="0.3">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row>
    <row r="563" spans="1:24" ht="14" x14ac:dyDescent="0.3">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row>
    <row r="564" spans="1:24" ht="14" x14ac:dyDescent="0.3">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row>
    <row r="565" spans="1:24" ht="14" x14ac:dyDescent="0.3">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row>
    <row r="566" spans="1:24" ht="14" x14ac:dyDescent="0.3">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row>
    <row r="567" spans="1:24" ht="14" x14ac:dyDescent="0.3">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row>
    <row r="568" spans="1:24" ht="14" x14ac:dyDescent="0.3">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row>
    <row r="569" spans="1:24" ht="14" x14ac:dyDescent="0.3">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row>
    <row r="570" spans="1:24" ht="14" x14ac:dyDescent="0.3">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row>
    <row r="571" spans="1:24" ht="14" x14ac:dyDescent="0.3">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row>
    <row r="572" spans="1:24" ht="14" x14ac:dyDescent="0.3">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row>
    <row r="573" spans="1:24" ht="14" x14ac:dyDescent="0.3">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row>
    <row r="574" spans="1:24" ht="14" x14ac:dyDescent="0.3">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row>
    <row r="575" spans="1:24" ht="14" x14ac:dyDescent="0.3">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row>
    <row r="576" spans="1:24" ht="14" x14ac:dyDescent="0.3">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row>
    <row r="577" spans="1:24" ht="14" x14ac:dyDescent="0.3">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row>
    <row r="578" spans="1:24" ht="14" x14ac:dyDescent="0.3">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row>
    <row r="579" spans="1:24" ht="14" x14ac:dyDescent="0.3">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row>
    <row r="580" spans="1:24" ht="14" x14ac:dyDescent="0.3">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row>
    <row r="581" spans="1:24" ht="14" x14ac:dyDescent="0.3">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row>
    <row r="582" spans="1:24" ht="14" x14ac:dyDescent="0.3">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row>
    <row r="583" spans="1:24" ht="14" x14ac:dyDescent="0.3">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row>
    <row r="584" spans="1:24" ht="14" x14ac:dyDescent="0.3">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row>
    <row r="585" spans="1:24" ht="14" x14ac:dyDescent="0.3">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row>
    <row r="586" spans="1:24" ht="14" x14ac:dyDescent="0.3">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row>
    <row r="587" spans="1:24" ht="14" x14ac:dyDescent="0.3">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row>
    <row r="588" spans="1:24" ht="14" x14ac:dyDescent="0.3">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row>
    <row r="589" spans="1:24" ht="14" x14ac:dyDescent="0.3">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row>
    <row r="590" spans="1:24" ht="14" x14ac:dyDescent="0.3">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row>
    <row r="591" spans="1:24" ht="14" x14ac:dyDescent="0.3">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row>
    <row r="592" spans="1:24" ht="14" x14ac:dyDescent="0.3">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row>
    <row r="593" spans="1:24" ht="14" x14ac:dyDescent="0.3">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row>
    <row r="594" spans="1:24" ht="14" x14ac:dyDescent="0.3">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row>
    <row r="595" spans="1:24" ht="14" x14ac:dyDescent="0.3">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row>
    <row r="596" spans="1:24" ht="14" x14ac:dyDescent="0.3">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row>
    <row r="597" spans="1:24" ht="14" x14ac:dyDescent="0.3">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row>
    <row r="598" spans="1:24" ht="14" x14ac:dyDescent="0.3">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row>
    <row r="599" spans="1:24" ht="14" x14ac:dyDescent="0.3">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row>
    <row r="600" spans="1:24" ht="14" x14ac:dyDescent="0.3">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row>
    <row r="601" spans="1:24" ht="14" x14ac:dyDescent="0.3">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row>
    <row r="602" spans="1:24" ht="14" x14ac:dyDescent="0.3">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row>
    <row r="603" spans="1:24" ht="14" x14ac:dyDescent="0.3">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row>
    <row r="604" spans="1:24" ht="14" x14ac:dyDescent="0.3">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row>
    <row r="605" spans="1:24" ht="14" x14ac:dyDescent="0.3">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row>
    <row r="606" spans="1:24" ht="14" x14ac:dyDescent="0.3">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row>
    <row r="607" spans="1:24" ht="14" x14ac:dyDescent="0.3">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row>
    <row r="608" spans="1:24" ht="14" x14ac:dyDescent="0.3">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row>
    <row r="609" spans="1:24" ht="14" x14ac:dyDescent="0.3">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row>
    <row r="610" spans="1:24" ht="14" x14ac:dyDescent="0.3">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row>
    <row r="611" spans="1:24" ht="14" x14ac:dyDescent="0.3">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row>
    <row r="612" spans="1:24" ht="14" x14ac:dyDescent="0.3">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row>
    <row r="613" spans="1:24" ht="14" x14ac:dyDescent="0.3">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row>
    <row r="614" spans="1:24" ht="14" x14ac:dyDescent="0.3">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row>
    <row r="615" spans="1:24" ht="14" x14ac:dyDescent="0.3">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row>
    <row r="616" spans="1:24" ht="14" x14ac:dyDescent="0.3">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row>
    <row r="617" spans="1:24" ht="14" x14ac:dyDescent="0.3">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row>
    <row r="618" spans="1:24" ht="14" x14ac:dyDescent="0.3">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row>
    <row r="619" spans="1:24" ht="14" x14ac:dyDescent="0.3">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row>
    <row r="620" spans="1:24" ht="14" x14ac:dyDescent="0.3">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row>
    <row r="621" spans="1:24" ht="14" x14ac:dyDescent="0.3">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row>
    <row r="622" spans="1:24" ht="14" x14ac:dyDescent="0.3">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row>
    <row r="623" spans="1:24" ht="14" x14ac:dyDescent="0.3">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row>
    <row r="624" spans="1:24" ht="14" x14ac:dyDescent="0.3">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row>
    <row r="625" spans="1:24" ht="14" x14ac:dyDescent="0.3">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row>
    <row r="626" spans="1:24" ht="14" x14ac:dyDescent="0.3">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row>
    <row r="627" spans="1:24" ht="14" x14ac:dyDescent="0.3">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row>
    <row r="628" spans="1:24" ht="14" x14ac:dyDescent="0.3">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row>
    <row r="629" spans="1:24" ht="14" x14ac:dyDescent="0.3">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row>
    <row r="630" spans="1:24" ht="14" x14ac:dyDescent="0.3">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row>
    <row r="631" spans="1:24" ht="14" x14ac:dyDescent="0.3">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row>
    <row r="632" spans="1:24" ht="14" x14ac:dyDescent="0.3">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row>
    <row r="633" spans="1:24" ht="14" x14ac:dyDescent="0.3">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row>
    <row r="634" spans="1:24" ht="14" x14ac:dyDescent="0.3">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row>
    <row r="635" spans="1:24" ht="14" x14ac:dyDescent="0.3">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row>
    <row r="636" spans="1:24" ht="14" x14ac:dyDescent="0.3">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row>
    <row r="637" spans="1:24" ht="14" x14ac:dyDescent="0.3">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row>
    <row r="638" spans="1:24" ht="14" x14ac:dyDescent="0.3">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row>
    <row r="639" spans="1:24" ht="14" x14ac:dyDescent="0.3">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row>
    <row r="640" spans="1:24" ht="14" x14ac:dyDescent="0.3">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row>
    <row r="641" spans="1:24" ht="14" x14ac:dyDescent="0.3">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row>
    <row r="642" spans="1:24" ht="14" x14ac:dyDescent="0.3">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row>
    <row r="643" spans="1:24" ht="14" x14ac:dyDescent="0.3">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row>
    <row r="644" spans="1:24" ht="14" x14ac:dyDescent="0.3">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row>
    <row r="645" spans="1:24" ht="14" x14ac:dyDescent="0.3">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row>
    <row r="646" spans="1:24" ht="14" x14ac:dyDescent="0.3">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row>
    <row r="647" spans="1:24" ht="14" x14ac:dyDescent="0.3">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row>
    <row r="648" spans="1:24" ht="14" x14ac:dyDescent="0.3">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row>
    <row r="649" spans="1:24" ht="14" x14ac:dyDescent="0.3">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row>
    <row r="650" spans="1:24" ht="14" x14ac:dyDescent="0.3">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row>
    <row r="651" spans="1:24" ht="14" x14ac:dyDescent="0.3">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row>
    <row r="652" spans="1:24" ht="14" x14ac:dyDescent="0.3">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row>
    <row r="653" spans="1:24" ht="14" x14ac:dyDescent="0.3">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row>
    <row r="654" spans="1:24" ht="14" x14ac:dyDescent="0.3">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row>
    <row r="655" spans="1:24" ht="14" x14ac:dyDescent="0.3">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row>
    <row r="656" spans="1:24" ht="14" x14ac:dyDescent="0.3">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row>
    <row r="657" spans="1:24" ht="14" x14ac:dyDescent="0.3">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row>
    <row r="658" spans="1:24" ht="14" x14ac:dyDescent="0.3">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row>
    <row r="659" spans="1:24" ht="14" x14ac:dyDescent="0.3">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row>
    <row r="660" spans="1:24" ht="14" x14ac:dyDescent="0.3">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row>
    <row r="661" spans="1:24" ht="14" x14ac:dyDescent="0.3">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row>
    <row r="662" spans="1:24" ht="14" x14ac:dyDescent="0.3">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row>
    <row r="663" spans="1:24" ht="14" x14ac:dyDescent="0.3">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row>
    <row r="664" spans="1:24" ht="14" x14ac:dyDescent="0.3">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row>
    <row r="665" spans="1:24" ht="14" x14ac:dyDescent="0.3">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row>
    <row r="666" spans="1:24" ht="14" x14ac:dyDescent="0.3">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row>
    <row r="667" spans="1:24" ht="14" x14ac:dyDescent="0.3">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row>
    <row r="668" spans="1:24" ht="14" x14ac:dyDescent="0.3">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row>
    <row r="669" spans="1:24" ht="14" x14ac:dyDescent="0.3">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row>
    <row r="670" spans="1:24" ht="14" x14ac:dyDescent="0.3">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row>
    <row r="671" spans="1:24" ht="14" x14ac:dyDescent="0.3">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row>
    <row r="672" spans="1:24" ht="14" x14ac:dyDescent="0.3">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row>
    <row r="673" spans="1:24" ht="14" x14ac:dyDescent="0.3">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row>
    <row r="674" spans="1:24" ht="14" x14ac:dyDescent="0.3">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row>
    <row r="675" spans="1:24" ht="14" x14ac:dyDescent="0.3">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row>
    <row r="676" spans="1:24" ht="14" x14ac:dyDescent="0.3">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row>
    <row r="677" spans="1:24" ht="14" x14ac:dyDescent="0.3">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row>
    <row r="678" spans="1:24" ht="14" x14ac:dyDescent="0.3">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row>
    <row r="679" spans="1:24" ht="14" x14ac:dyDescent="0.3">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row>
    <row r="680" spans="1:24" ht="14" x14ac:dyDescent="0.3">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row>
    <row r="681" spans="1:24" ht="14" x14ac:dyDescent="0.3">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row>
    <row r="682" spans="1:24" ht="14" x14ac:dyDescent="0.3">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row>
    <row r="683" spans="1:24" ht="14" x14ac:dyDescent="0.3">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row>
    <row r="684" spans="1:24" ht="14" x14ac:dyDescent="0.3">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row>
    <row r="685" spans="1:24" ht="14" x14ac:dyDescent="0.3">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row>
    <row r="686" spans="1:24" ht="14" x14ac:dyDescent="0.3">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row>
    <row r="687" spans="1:24" ht="14" x14ac:dyDescent="0.3">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row>
    <row r="688" spans="1:24" ht="14" x14ac:dyDescent="0.3">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row>
    <row r="689" spans="1:24" ht="14" x14ac:dyDescent="0.3">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row>
    <row r="690" spans="1:24" ht="14" x14ac:dyDescent="0.3">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row>
    <row r="691" spans="1:24" ht="14" x14ac:dyDescent="0.3">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row>
    <row r="692" spans="1:24" ht="14" x14ac:dyDescent="0.3">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row>
    <row r="693" spans="1:24" ht="14" x14ac:dyDescent="0.3">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row>
    <row r="694" spans="1:24" ht="14" x14ac:dyDescent="0.3">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row>
    <row r="695" spans="1:24" ht="14" x14ac:dyDescent="0.3">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row>
    <row r="696" spans="1:24" ht="14" x14ac:dyDescent="0.3">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row>
    <row r="697" spans="1:24" ht="14" x14ac:dyDescent="0.3">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row>
    <row r="698" spans="1:24" ht="14" x14ac:dyDescent="0.3">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row>
    <row r="699" spans="1:24" ht="14" x14ac:dyDescent="0.3">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row>
    <row r="700" spans="1:24" ht="14" x14ac:dyDescent="0.3">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row>
    <row r="701" spans="1:24" ht="14" x14ac:dyDescent="0.3">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row>
    <row r="702" spans="1:24" ht="14" x14ac:dyDescent="0.3">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row>
    <row r="703" spans="1:24" ht="14" x14ac:dyDescent="0.3">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row>
    <row r="704" spans="1:24" ht="14" x14ac:dyDescent="0.3">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row>
    <row r="705" spans="1:24" ht="14" x14ac:dyDescent="0.3">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row>
    <row r="706" spans="1:24" ht="14" x14ac:dyDescent="0.3">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row>
    <row r="707" spans="1:24" ht="14" x14ac:dyDescent="0.3">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row>
    <row r="708" spans="1:24" ht="14" x14ac:dyDescent="0.3">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row>
    <row r="709" spans="1:24" ht="14" x14ac:dyDescent="0.3">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row>
    <row r="710" spans="1:24" ht="14" x14ac:dyDescent="0.3">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row>
    <row r="711" spans="1:24" ht="14" x14ac:dyDescent="0.3">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row>
    <row r="712" spans="1:24" ht="14" x14ac:dyDescent="0.3">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row>
    <row r="713" spans="1:24" ht="14" x14ac:dyDescent="0.3">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row>
    <row r="714" spans="1:24" ht="14" x14ac:dyDescent="0.3">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row>
    <row r="715" spans="1:24" ht="14" x14ac:dyDescent="0.3">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row>
    <row r="716" spans="1:24" ht="14" x14ac:dyDescent="0.3">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row>
    <row r="717" spans="1:24" ht="14" x14ac:dyDescent="0.3">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row>
    <row r="718" spans="1:24" ht="14" x14ac:dyDescent="0.3">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row>
    <row r="719" spans="1:24" ht="14" x14ac:dyDescent="0.3">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row>
    <row r="720" spans="1:24" ht="14" x14ac:dyDescent="0.3">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row>
    <row r="721" spans="1:24" ht="14" x14ac:dyDescent="0.3">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row>
    <row r="722" spans="1:24" ht="14" x14ac:dyDescent="0.3">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row>
    <row r="723" spans="1:24" ht="14" x14ac:dyDescent="0.3">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row>
    <row r="724" spans="1:24" ht="14" x14ac:dyDescent="0.3">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row>
    <row r="725" spans="1:24" ht="14" x14ac:dyDescent="0.3">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row>
    <row r="726" spans="1:24" ht="14" x14ac:dyDescent="0.3">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row>
    <row r="727" spans="1:24" ht="14" x14ac:dyDescent="0.3">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row>
    <row r="728" spans="1:24" ht="14" x14ac:dyDescent="0.3">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row>
    <row r="729" spans="1:24" ht="14" x14ac:dyDescent="0.3">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row>
    <row r="730" spans="1:24" ht="14" x14ac:dyDescent="0.3">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row>
    <row r="731" spans="1:24" ht="14" x14ac:dyDescent="0.3">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row>
    <row r="732" spans="1:24" ht="14" x14ac:dyDescent="0.3">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row>
    <row r="733" spans="1:24" ht="14" x14ac:dyDescent="0.3">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row>
    <row r="734" spans="1:24" ht="14" x14ac:dyDescent="0.3">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row>
    <row r="735" spans="1:24" ht="14" x14ac:dyDescent="0.3">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row>
    <row r="736" spans="1:24" ht="14" x14ac:dyDescent="0.3">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row>
    <row r="737" spans="1:24" ht="14" x14ac:dyDescent="0.3">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row>
    <row r="738" spans="1:24" ht="14" x14ac:dyDescent="0.3">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row>
    <row r="739" spans="1:24" ht="14" x14ac:dyDescent="0.3">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row>
    <row r="740" spans="1:24" ht="14" x14ac:dyDescent="0.3">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row>
    <row r="741" spans="1:24" ht="14" x14ac:dyDescent="0.3">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row>
    <row r="742" spans="1:24" ht="14" x14ac:dyDescent="0.3">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row>
    <row r="743" spans="1:24" ht="14" x14ac:dyDescent="0.3">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row>
    <row r="744" spans="1:24" ht="14" x14ac:dyDescent="0.3">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row>
    <row r="745" spans="1:24" ht="14" x14ac:dyDescent="0.3">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row>
    <row r="746" spans="1:24" ht="14" x14ac:dyDescent="0.3">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row>
    <row r="747" spans="1:24" ht="14" x14ac:dyDescent="0.3">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row>
    <row r="748" spans="1:24" ht="14" x14ac:dyDescent="0.3">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row>
    <row r="749" spans="1:24" ht="14" x14ac:dyDescent="0.3">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row>
    <row r="750" spans="1:24" ht="14" x14ac:dyDescent="0.3">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row>
    <row r="751" spans="1:24" ht="14" x14ac:dyDescent="0.3">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row>
    <row r="752" spans="1:24" ht="14" x14ac:dyDescent="0.3">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row>
    <row r="753" spans="1:24" ht="14" x14ac:dyDescent="0.3">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row>
    <row r="754" spans="1:24" ht="14" x14ac:dyDescent="0.3">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row>
    <row r="755" spans="1:24" ht="14" x14ac:dyDescent="0.3">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row>
    <row r="756" spans="1:24" ht="14" x14ac:dyDescent="0.3">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row>
    <row r="757" spans="1:24" ht="14" x14ac:dyDescent="0.3">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row>
    <row r="758" spans="1:24" ht="14" x14ac:dyDescent="0.3">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row>
    <row r="759" spans="1:24" ht="14" x14ac:dyDescent="0.3">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row>
    <row r="760" spans="1:24" ht="14" x14ac:dyDescent="0.3">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row>
    <row r="761" spans="1:24" ht="14" x14ac:dyDescent="0.3">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row>
    <row r="762" spans="1:24" ht="14" x14ac:dyDescent="0.3">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row>
    <row r="763" spans="1:24" ht="14" x14ac:dyDescent="0.3">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row>
    <row r="764" spans="1:24" ht="14" x14ac:dyDescent="0.3">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row>
    <row r="765" spans="1:24" ht="14" x14ac:dyDescent="0.3">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row>
    <row r="766" spans="1:24" ht="14" x14ac:dyDescent="0.3">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row>
    <row r="767" spans="1:24" ht="14" x14ac:dyDescent="0.3">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row>
    <row r="768" spans="1:24" ht="14" x14ac:dyDescent="0.3">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row>
    <row r="769" spans="1:24" ht="14" x14ac:dyDescent="0.3">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row>
    <row r="770" spans="1:24" ht="14" x14ac:dyDescent="0.3">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row>
    <row r="771" spans="1:24" ht="14" x14ac:dyDescent="0.3">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row>
    <row r="772" spans="1:24" ht="14" x14ac:dyDescent="0.3">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row>
    <row r="773" spans="1:24" ht="14" x14ac:dyDescent="0.3">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row>
    <row r="774" spans="1:24" ht="14" x14ac:dyDescent="0.3">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row>
    <row r="775" spans="1:24" ht="14" x14ac:dyDescent="0.3">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row>
    <row r="776" spans="1:24" ht="14" x14ac:dyDescent="0.3">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row>
    <row r="777" spans="1:24" ht="14" x14ac:dyDescent="0.3">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row>
    <row r="778" spans="1:24" ht="14" x14ac:dyDescent="0.3">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row>
    <row r="779" spans="1:24" ht="14" x14ac:dyDescent="0.3">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row>
    <row r="780" spans="1:24" ht="14" x14ac:dyDescent="0.3">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row>
    <row r="781" spans="1:24" ht="14" x14ac:dyDescent="0.3">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row>
    <row r="782" spans="1:24" ht="14" x14ac:dyDescent="0.3">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row>
    <row r="783" spans="1:24" ht="14" x14ac:dyDescent="0.3">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row>
    <row r="784" spans="1:24" ht="14" x14ac:dyDescent="0.3">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row>
    <row r="785" spans="1:24" ht="14" x14ac:dyDescent="0.3">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row>
    <row r="786" spans="1:24" ht="14" x14ac:dyDescent="0.3">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row>
    <row r="787" spans="1:24" ht="14" x14ac:dyDescent="0.3">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row>
    <row r="788" spans="1:24" ht="14" x14ac:dyDescent="0.3">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row>
    <row r="789" spans="1:24" ht="14" x14ac:dyDescent="0.3">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row>
    <row r="790" spans="1:24" ht="14" x14ac:dyDescent="0.3">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row>
    <row r="791" spans="1:24" ht="14" x14ac:dyDescent="0.3">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row>
    <row r="792" spans="1:24" ht="14" x14ac:dyDescent="0.3">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row>
    <row r="793" spans="1:24" ht="14" x14ac:dyDescent="0.3">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row>
    <row r="794" spans="1:24" ht="14" x14ac:dyDescent="0.3">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row>
    <row r="795" spans="1:24" ht="14" x14ac:dyDescent="0.3">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row>
    <row r="796" spans="1:24" ht="14" x14ac:dyDescent="0.3">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row>
    <row r="797" spans="1:24" ht="14" x14ac:dyDescent="0.3">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row>
    <row r="798" spans="1:24" ht="14" x14ac:dyDescent="0.3">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row>
    <row r="799" spans="1:24" ht="14" x14ac:dyDescent="0.3">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row>
    <row r="800" spans="1:24" ht="14" x14ac:dyDescent="0.3">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row>
    <row r="801" spans="1:24" ht="14" x14ac:dyDescent="0.3">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row>
    <row r="802" spans="1:24" ht="14" x14ac:dyDescent="0.3">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row>
    <row r="803" spans="1:24" ht="14" x14ac:dyDescent="0.3">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row>
    <row r="804" spans="1:24" ht="14" x14ac:dyDescent="0.3">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row>
    <row r="805" spans="1:24" ht="14" x14ac:dyDescent="0.3">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row>
    <row r="806" spans="1:24" ht="14" x14ac:dyDescent="0.3">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row>
    <row r="807" spans="1:24" ht="14" x14ac:dyDescent="0.3">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row>
    <row r="808" spans="1:24" ht="14" x14ac:dyDescent="0.3">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row>
    <row r="809" spans="1:24" ht="14" x14ac:dyDescent="0.3">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row>
    <row r="810" spans="1:24" ht="14" x14ac:dyDescent="0.3">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row>
    <row r="811" spans="1:24" ht="14" x14ac:dyDescent="0.3">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row>
    <row r="812" spans="1:24" ht="14" x14ac:dyDescent="0.3">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row>
    <row r="813" spans="1:24" ht="14" x14ac:dyDescent="0.3">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row>
    <row r="814" spans="1:24" ht="14" x14ac:dyDescent="0.3">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row>
    <row r="815" spans="1:24" ht="14" x14ac:dyDescent="0.3">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row>
    <row r="816" spans="1:24" ht="14" x14ac:dyDescent="0.3">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row>
    <row r="817" spans="1:24" ht="14" x14ac:dyDescent="0.3">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row>
    <row r="818" spans="1:24" ht="14" x14ac:dyDescent="0.3">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row>
    <row r="819" spans="1:24" ht="14" x14ac:dyDescent="0.3">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row>
    <row r="820" spans="1:24" ht="14" x14ac:dyDescent="0.3">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row>
    <row r="821" spans="1:24" ht="14" x14ac:dyDescent="0.3">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row>
    <row r="822" spans="1:24" ht="14" x14ac:dyDescent="0.3">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row>
    <row r="823" spans="1:24" ht="14" x14ac:dyDescent="0.3">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row>
    <row r="824" spans="1:24" ht="14" x14ac:dyDescent="0.3">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row>
    <row r="825" spans="1:24" ht="14" x14ac:dyDescent="0.3">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row>
    <row r="826" spans="1:24" ht="14" x14ac:dyDescent="0.3">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row>
    <row r="827" spans="1:24" ht="14" x14ac:dyDescent="0.3">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row>
    <row r="828" spans="1:24" ht="14" x14ac:dyDescent="0.3">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row>
    <row r="829" spans="1:24" ht="14" x14ac:dyDescent="0.3">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row>
    <row r="830" spans="1:24" ht="14" x14ac:dyDescent="0.3">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row>
    <row r="831" spans="1:24" ht="14" x14ac:dyDescent="0.3">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row>
    <row r="832" spans="1:24" ht="14" x14ac:dyDescent="0.3">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row>
    <row r="833" spans="1:24" ht="14" x14ac:dyDescent="0.3">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row>
    <row r="834" spans="1:24" ht="14" x14ac:dyDescent="0.3">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row>
    <row r="835" spans="1:24" ht="14" x14ac:dyDescent="0.3">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row>
    <row r="836" spans="1:24" ht="14" x14ac:dyDescent="0.3">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row>
    <row r="837" spans="1:24" ht="14" x14ac:dyDescent="0.3">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row>
    <row r="838" spans="1:24" ht="14" x14ac:dyDescent="0.3">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row>
    <row r="839" spans="1:24" ht="14" x14ac:dyDescent="0.3">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row>
    <row r="840" spans="1:24" ht="14" x14ac:dyDescent="0.3">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row>
    <row r="841" spans="1:24" ht="14" x14ac:dyDescent="0.3">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row>
    <row r="842" spans="1:24" ht="14" x14ac:dyDescent="0.3">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row>
    <row r="843" spans="1:24" ht="14" x14ac:dyDescent="0.3">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row>
    <row r="844" spans="1:24" ht="14" x14ac:dyDescent="0.3">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row>
    <row r="845" spans="1:24" ht="14" x14ac:dyDescent="0.3">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row>
    <row r="846" spans="1:24" ht="14" x14ac:dyDescent="0.3">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row>
    <row r="847" spans="1:24" ht="14" x14ac:dyDescent="0.3">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row>
    <row r="848" spans="1:24" ht="14" x14ac:dyDescent="0.3">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row>
    <row r="849" spans="1:24" ht="14" x14ac:dyDescent="0.3">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row>
    <row r="850" spans="1:24" ht="14" x14ac:dyDescent="0.3">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row>
    <row r="851" spans="1:24" ht="14" x14ac:dyDescent="0.3">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row>
    <row r="852" spans="1:24" ht="14" x14ac:dyDescent="0.3">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row>
    <row r="853" spans="1:24" ht="14" x14ac:dyDescent="0.3">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row>
    <row r="854" spans="1:24" ht="14" x14ac:dyDescent="0.3">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row>
    <row r="855" spans="1:24" ht="14" x14ac:dyDescent="0.3">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row>
    <row r="856" spans="1:24" ht="14" x14ac:dyDescent="0.3">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row>
    <row r="857" spans="1:24" ht="14" x14ac:dyDescent="0.3">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row>
    <row r="858" spans="1:24" ht="14" x14ac:dyDescent="0.3">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row>
    <row r="859" spans="1:24" ht="14" x14ac:dyDescent="0.3">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row>
    <row r="860" spans="1:24" ht="14" x14ac:dyDescent="0.3">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row>
    <row r="861" spans="1:24" ht="14" x14ac:dyDescent="0.3">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row>
    <row r="862" spans="1:24" ht="14" x14ac:dyDescent="0.3">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row>
    <row r="863" spans="1:24" ht="14" x14ac:dyDescent="0.3">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row>
    <row r="864" spans="1:24" ht="14" x14ac:dyDescent="0.3">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row>
    <row r="865" spans="1:24" ht="14" x14ac:dyDescent="0.3">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row>
    <row r="866" spans="1:24" ht="14" x14ac:dyDescent="0.3">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row>
    <row r="867" spans="1:24" ht="14" x14ac:dyDescent="0.3">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row>
    <row r="868" spans="1:24" ht="14" x14ac:dyDescent="0.3">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row>
    <row r="869" spans="1:24" ht="14" x14ac:dyDescent="0.3">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row>
    <row r="870" spans="1:24" ht="14" x14ac:dyDescent="0.3">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row>
    <row r="871" spans="1:24" ht="14" x14ac:dyDescent="0.3">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row>
    <row r="872" spans="1:24" ht="14" x14ac:dyDescent="0.3">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row>
    <row r="873" spans="1:24" ht="14" x14ac:dyDescent="0.3">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row>
    <row r="874" spans="1:24" ht="14" x14ac:dyDescent="0.3">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row>
    <row r="875" spans="1:24" ht="14" x14ac:dyDescent="0.3">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row>
    <row r="876" spans="1:24" ht="14" x14ac:dyDescent="0.3">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row>
    <row r="877" spans="1:24" ht="14" x14ac:dyDescent="0.3">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row>
    <row r="878" spans="1:24" ht="14" x14ac:dyDescent="0.3">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row>
    <row r="879" spans="1:24" ht="14" x14ac:dyDescent="0.3">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row>
    <row r="880" spans="1:24" ht="14" x14ac:dyDescent="0.3">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row>
    <row r="881" spans="1:24" ht="14" x14ac:dyDescent="0.3">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row>
    <row r="882" spans="1:24" ht="14" x14ac:dyDescent="0.3">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row>
    <row r="883" spans="1:24" ht="14" x14ac:dyDescent="0.3">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row>
    <row r="884" spans="1:24" ht="14" x14ac:dyDescent="0.3">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row>
    <row r="885" spans="1:24" ht="14" x14ac:dyDescent="0.3">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row>
    <row r="886" spans="1:24" ht="14" x14ac:dyDescent="0.3">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row>
    <row r="887" spans="1:24" ht="14" x14ac:dyDescent="0.3">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row>
    <row r="888" spans="1:24" ht="14" x14ac:dyDescent="0.3">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row>
    <row r="889" spans="1:24" ht="14" x14ac:dyDescent="0.3">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row>
    <row r="890" spans="1:24" ht="14" x14ac:dyDescent="0.3">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row>
    <row r="891" spans="1:24" ht="14" x14ac:dyDescent="0.3">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row>
    <row r="892" spans="1:24" ht="14" x14ac:dyDescent="0.3">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row>
    <row r="893" spans="1:24" ht="14" x14ac:dyDescent="0.3">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row>
    <row r="894" spans="1:24" ht="14" x14ac:dyDescent="0.3">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row>
    <row r="895" spans="1:24" ht="14" x14ac:dyDescent="0.3">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row>
    <row r="896" spans="1:24" ht="14" x14ac:dyDescent="0.3">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row>
    <row r="897" spans="1:24" ht="14" x14ac:dyDescent="0.3">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row>
    <row r="898" spans="1:24" ht="14" x14ac:dyDescent="0.3">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row>
    <row r="899" spans="1:24" ht="14" x14ac:dyDescent="0.3">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row>
    <row r="900" spans="1:24" ht="14" x14ac:dyDescent="0.3">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row>
    <row r="901" spans="1:24" ht="14" x14ac:dyDescent="0.3">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row>
    <row r="902" spans="1:24" ht="14" x14ac:dyDescent="0.3">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row>
    <row r="903" spans="1:24" ht="14" x14ac:dyDescent="0.3">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row>
    <row r="904" spans="1:24" ht="14" x14ac:dyDescent="0.3">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row>
    <row r="905" spans="1:24" ht="14" x14ac:dyDescent="0.3">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row>
    <row r="906" spans="1:24" ht="14" x14ac:dyDescent="0.3">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row>
    <row r="907" spans="1:24" ht="14" x14ac:dyDescent="0.3">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row>
    <row r="908" spans="1:24" ht="14" x14ac:dyDescent="0.3">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row>
    <row r="909" spans="1:24" ht="14" x14ac:dyDescent="0.3">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row>
    <row r="910" spans="1:24" ht="14" x14ac:dyDescent="0.3">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row>
    <row r="911" spans="1:24" ht="14" x14ac:dyDescent="0.3">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row>
    <row r="912" spans="1:24" ht="14" x14ac:dyDescent="0.3">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row>
    <row r="913" spans="1:24" ht="14" x14ac:dyDescent="0.3">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row>
    <row r="914" spans="1:24" ht="14" x14ac:dyDescent="0.3">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row>
    <row r="915" spans="1:24" ht="14" x14ac:dyDescent="0.3">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row>
    <row r="916" spans="1:24" ht="14" x14ac:dyDescent="0.3">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row>
    <row r="917" spans="1:24" ht="14" x14ac:dyDescent="0.3">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row>
    <row r="918" spans="1:24" ht="14" x14ac:dyDescent="0.3">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row>
    <row r="919" spans="1:24" ht="14" x14ac:dyDescent="0.3">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row>
    <row r="920" spans="1:24" ht="14" x14ac:dyDescent="0.3">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row>
    <row r="921" spans="1:24" ht="14" x14ac:dyDescent="0.3">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row>
    <row r="922" spans="1:24" ht="14" x14ac:dyDescent="0.3">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row>
    <row r="923" spans="1:24" ht="14" x14ac:dyDescent="0.3">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row>
    <row r="924" spans="1:24" ht="14" x14ac:dyDescent="0.3">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row>
    <row r="925" spans="1:24" ht="14" x14ac:dyDescent="0.3">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row>
    <row r="926" spans="1:24" ht="14" x14ac:dyDescent="0.3">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row>
    <row r="927" spans="1:24" ht="14" x14ac:dyDescent="0.3">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row>
    <row r="928" spans="1:24" ht="14" x14ac:dyDescent="0.3">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row>
    <row r="929" spans="1:24" ht="14" x14ac:dyDescent="0.3">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row>
    <row r="930" spans="1:24" ht="14" x14ac:dyDescent="0.3">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row>
    <row r="931" spans="1:24" ht="14" x14ac:dyDescent="0.3">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row>
    <row r="932" spans="1:24" ht="14" x14ac:dyDescent="0.3">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row>
    <row r="933" spans="1:24" ht="14" x14ac:dyDescent="0.3">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row>
    <row r="934" spans="1:24" ht="14" x14ac:dyDescent="0.3">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row>
    <row r="935" spans="1:24" ht="14" x14ac:dyDescent="0.3">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row>
    <row r="936" spans="1:24" ht="14" x14ac:dyDescent="0.3">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row>
    <row r="937" spans="1:24" ht="14" x14ac:dyDescent="0.3">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row>
    <row r="938" spans="1:24" ht="14" x14ac:dyDescent="0.3">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row>
    <row r="939" spans="1:24" ht="14" x14ac:dyDescent="0.3">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row>
    <row r="940" spans="1:24" ht="14" x14ac:dyDescent="0.3">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row>
    <row r="941" spans="1:24" ht="14" x14ac:dyDescent="0.3">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row>
    <row r="942" spans="1:24" ht="14" x14ac:dyDescent="0.3">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row>
    <row r="943" spans="1:24" ht="14" x14ac:dyDescent="0.3">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row>
    <row r="944" spans="1:24" ht="14" x14ac:dyDescent="0.3">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row>
    <row r="945" spans="1:24" ht="14" x14ac:dyDescent="0.3">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row>
    <row r="946" spans="1:24" ht="14" x14ac:dyDescent="0.3">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row>
    <row r="947" spans="1:24" ht="14" x14ac:dyDescent="0.3">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row>
    <row r="948" spans="1:24" ht="14" x14ac:dyDescent="0.3">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row>
    <row r="949" spans="1:24" ht="14" x14ac:dyDescent="0.3">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row>
    <row r="950" spans="1:24" ht="14" x14ac:dyDescent="0.3">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row>
    <row r="951" spans="1:24" ht="14" x14ac:dyDescent="0.3">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row>
    <row r="952" spans="1:24" ht="14" x14ac:dyDescent="0.3">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row>
    <row r="953" spans="1:24" ht="14" x14ac:dyDescent="0.3">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row>
    <row r="954" spans="1:24" ht="14" x14ac:dyDescent="0.3">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row>
    <row r="955" spans="1:24" ht="14" x14ac:dyDescent="0.3">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row>
    <row r="956" spans="1:24" ht="14" x14ac:dyDescent="0.3">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row>
    <row r="957" spans="1:24" ht="14" x14ac:dyDescent="0.3">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row>
    <row r="958" spans="1:24" ht="14" x14ac:dyDescent="0.3">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row>
    <row r="959" spans="1:24" ht="14" x14ac:dyDescent="0.3">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row>
    <row r="960" spans="1:24" ht="14" x14ac:dyDescent="0.3">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row>
    <row r="961" spans="1:24" ht="14" x14ac:dyDescent="0.3">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row>
    <row r="962" spans="1:24" ht="14" x14ac:dyDescent="0.3">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row>
    <row r="963" spans="1:24" ht="14" x14ac:dyDescent="0.3">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row>
  </sheetData>
  <protectedRanges>
    <protectedRange algorithmName="SHA-512" hashValue="j3XsBJ/4oW7THc1pniNLw8XRBsgESbQ857IwPu949UcSVPY96V3DWuZX1U2Ec93m6DuuFDc7tboDDTyMEKyTDQ==" saltValue="X+TUyFS1zuOqoTMBESWM/A==" spinCount="100000" sqref="U1:X1048576" name="Scoring_2_1"/>
    <protectedRange algorithmName="SHA-512" hashValue="hMq1DBbiST668jQyDIjIdbBnNW/u/dnbrQHZfHWR7uIKwZIiBO+5ViwdHPKc92t7W7d7IST1EqGe60eXCoNiBQ==" saltValue="NLiPFIp7sPxnbiXS647sLw==" spinCount="100000" sqref="C1:N1048576" name="CN_2_1"/>
    <protectedRange algorithmName="SHA-512" hashValue="VeZxzcLzQLMY74mwZ3DEb7CD93dWi64TdZtCudah6V3/NiExsNLX6eMmYvZ1d+Bvt41C3C+VTL2soEmQak61mw==" saltValue="v5uT1IpTW7cftqGrkR6zIQ==" spinCount="100000" sqref="A2:A995" name="ID_2_1"/>
  </protectedRanges>
  <phoneticPr fontId="2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3F7D4BE0-3281-4FD2-8021-4BAAF9014175}">
          <x14:formula1>
            <xm:f>'Auto Responses'!$J$27:$J$29</xm:f>
          </x14:formula1>
          <xm:sqref>K3:K334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4B87-CBA7-4F67-BED8-B1047987ACB5}">
  <sheetPr>
    <tabColor rgb="FFFF0000"/>
    <outlinePr summaryBelow="0" summaryRight="0"/>
  </sheetPr>
  <dimension ref="A1:AH65"/>
  <sheetViews>
    <sheetView topLeftCell="A2" zoomScale="90" zoomScaleNormal="90" workbookViewId="0">
      <selection activeCell="A35" sqref="A35"/>
    </sheetView>
  </sheetViews>
  <sheetFormatPr defaultColWidth="0" defaultRowHeight="15.75" customHeight="1" zeroHeight="1" x14ac:dyDescent="0.3"/>
  <cols>
    <col min="1" max="1" width="52.6640625" style="11" customWidth="1"/>
    <col min="2" max="2" width="19.59765625" style="11" customWidth="1"/>
    <col min="3" max="3" width="2.59765625" style="244" customWidth="1"/>
    <col min="4" max="4" width="78.06640625" style="11" customWidth="1"/>
    <col min="5" max="5" width="2.59765625" style="246" customWidth="1"/>
    <col min="6" max="6" width="101.6640625" style="11" customWidth="1"/>
    <col min="7" max="7" width="2.59765625" style="246" customWidth="1"/>
    <col min="8" max="8" width="73" style="11" customWidth="1"/>
    <col min="9" max="9" width="2.59765625" style="246" customWidth="1"/>
    <col min="10" max="10" width="14.59765625" style="11" customWidth="1"/>
    <col min="11" max="11" width="2.59765625" style="246" customWidth="1"/>
    <col min="12" max="12" width="14.59765625" style="11" customWidth="1"/>
    <col min="13" max="13" width="2.59765625" style="246" customWidth="1"/>
    <col min="14" max="14" width="8.796875" style="11" customWidth="1"/>
    <col min="15" max="15" width="40.06640625" style="11" bestFit="1" customWidth="1"/>
    <col min="16" max="17" width="8.796875" style="11" customWidth="1"/>
    <col min="18" max="34" width="0" style="11" hidden="1" customWidth="1"/>
    <col min="35" max="16384" width="8.796875" style="11" hidden="1"/>
  </cols>
  <sheetData>
    <row r="1" spans="1:34" ht="15.75" hidden="1" customHeight="1" x14ac:dyDescent="0.3">
      <c r="A1" s="261" t="s">
        <v>1537</v>
      </c>
    </row>
    <row r="2" spans="1:34" ht="13" x14ac:dyDescent="0.3">
      <c r="A2" s="13" t="s">
        <v>1523</v>
      </c>
      <c r="B2" s="13" t="s">
        <v>902</v>
      </c>
      <c r="C2" s="243"/>
      <c r="D2" s="13" t="s">
        <v>921</v>
      </c>
      <c r="E2" s="245"/>
      <c r="F2" s="13" t="s">
        <v>995</v>
      </c>
      <c r="G2" s="245"/>
      <c r="H2" s="13" t="s">
        <v>1220</v>
      </c>
      <c r="I2" s="245"/>
      <c r="J2" s="99" t="s">
        <v>909</v>
      </c>
      <c r="K2" s="249"/>
      <c r="L2" s="99" t="s">
        <v>1224</v>
      </c>
      <c r="M2" s="249"/>
      <c r="N2" s="99" t="s">
        <v>1013</v>
      </c>
      <c r="P2" s="69"/>
      <c r="Q2" s="13"/>
      <c r="R2" s="13"/>
      <c r="S2" s="13"/>
      <c r="T2" s="13"/>
      <c r="U2" s="13"/>
      <c r="V2" s="13"/>
      <c r="W2" s="13"/>
      <c r="X2" s="13"/>
      <c r="Y2" s="13"/>
      <c r="Z2" s="13"/>
      <c r="AA2" s="13"/>
      <c r="AB2" s="13"/>
      <c r="AC2" s="13"/>
      <c r="AD2" s="13"/>
      <c r="AE2" s="13"/>
      <c r="AF2" s="13"/>
      <c r="AG2" s="13"/>
      <c r="AH2" s="13"/>
    </row>
    <row r="3" spans="1:34" ht="13" x14ac:dyDescent="0.3">
      <c r="A3" s="12" t="s">
        <v>1574</v>
      </c>
      <c r="B3" s="12" t="s">
        <v>901</v>
      </c>
      <c r="D3" s="12" t="s">
        <v>876</v>
      </c>
      <c r="F3" s="12" t="s">
        <v>1218</v>
      </c>
      <c r="H3" s="223" t="s">
        <v>1091</v>
      </c>
      <c r="I3" s="247"/>
      <c r="J3" s="11" t="s">
        <v>40</v>
      </c>
      <c r="L3" s="11" t="s">
        <v>1006</v>
      </c>
      <c r="N3" s="100" t="s">
        <v>1011</v>
      </c>
      <c r="O3" s="100" t="s">
        <v>1012</v>
      </c>
      <c r="P3" s="101" t="s">
        <v>993</v>
      </c>
    </row>
    <row r="4" spans="1:34" ht="13" x14ac:dyDescent="0.3">
      <c r="A4" s="12" t="s">
        <v>1575</v>
      </c>
      <c r="B4" s="12" t="s">
        <v>900</v>
      </c>
      <c r="D4" s="12" t="s">
        <v>1554</v>
      </c>
      <c r="F4" s="12" t="s">
        <v>928</v>
      </c>
      <c r="H4" s="12" t="s">
        <v>1092</v>
      </c>
      <c r="I4" s="248"/>
      <c r="J4" s="11" t="s">
        <v>149</v>
      </c>
      <c r="L4" s="11" t="s">
        <v>610</v>
      </c>
      <c r="N4" s="11" t="s">
        <v>930</v>
      </c>
      <c r="O4" s="11" t="s">
        <v>931</v>
      </c>
      <c r="P4" s="69">
        <f>COUNTIF('(backend scoring)'!$B:$B,'Auto Responses'!$N4)</f>
        <v>9</v>
      </c>
    </row>
    <row r="5" spans="1:34" ht="13" x14ac:dyDescent="0.3">
      <c r="A5" s="12" t="s">
        <v>1576</v>
      </c>
      <c r="B5" s="12" t="s">
        <v>899</v>
      </c>
      <c r="D5" s="12" t="s">
        <v>1591</v>
      </c>
      <c r="F5" s="12" t="s">
        <v>1483</v>
      </c>
      <c r="H5" s="12" t="s">
        <v>1599</v>
      </c>
      <c r="I5" s="248"/>
      <c r="J5" s="11" t="s">
        <v>1614</v>
      </c>
      <c r="L5" s="11" t="s">
        <v>1007</v>
      </c>
      <c r="N5" s="11" t="s">
        <v>932</v>
      </c>
      <c r="O5" s="11" t="s">
        <v>933</v>
      </c>
      <c r="P5" s="69">
        <f>COUNTIF('(backend scoring)'!$B:$B,'Auto Responses'!$N5)</f>
        <v>5</v>
      </c>
    </row>
    <row r="6" spans="1:34" ht="13" x14ac:dyDescent="0.3">
      <c r="A6" s="12" t="s">
        <v>1577</v>
      </c>
      <c r="B6" s="12" t="s">
        <v>898</v>
      </c>
      <c r="D6" s="12" t="s">
        <v>1607</v>
      </c>
      <c r="F6" s="12" t="s">
        <v>1486</v>
      </c>
      <c r="L6" s="11" t="s">
        <v>1008</v>
      </c>
      <c r="N6" s="11" t="s">
        <v>934</v>
      </c>
      <c r="O6" s="11" t="s">
        <v>935</v>
      </c>
      <c r="P6" s="69">
        <f>COUNTIF('(backend scoring)'!$B:$B,'Auto Responses'!$N6)</f>
        <v>8</v>
      </c>
    </row>
    <row r="7" spans="1:34" ht="13" x14ac:dyDescent="0.3">
      <c r="A7" s="12" t="s">
        <v>1578</v>
      </c>
      <c r="B7" s="12" t="s">
        <v>897</v>
      </c>
      <c r="D7" s="12" t="s">
        <v>1487</v>
      </c>
      <c r="F7" s="12" t="s">
        <v>1219</v>
      </c>
      <c r="J7" s="11" t="s">
        <v>910</v>
      </c>
      <c r="L7" s="11" t="s">
        <v>1009</v>
      </c>
      <c r="N7" s="11" t="s">
        <v>936</v>
      </c>
      <c r="O7" s="11" t="s">
        <v>937</v>
      </c>
      <c r="P7" s="69">
        <f>COUNTIF('(backend scoring)'!$B:$B,'Auto Responses'!$N7)</f>
        <v>7</v>
      </c>
    </row>
    <row r="8" spans="1:34" ht="13" x14ac:dyDescent="0.3">
      <c r="A8" s="12" t="s">
        <v>1579</v>
      </c>
      <c r="B8" s="12" t="s">
        <v>896</v>
      </c>
      <c r="D8" s="11" t="s">
        <v>1482</v>
      </c>
      <c r="F8" s="11" t="s">
        <v>1551</v>
      </c>
      <c r="J8" s="11" t="s">
        <v>911</v>
      </c>
      <c r="L8" s="11" t="s">
        <v>1010</v>
      </c>
      <c r="N8" s="11" t="s">
        <v>938</v>
      </c>
      <c r="O8" s="11" t="s">
        <v>939</v>
      </c>
      <c r="P8" s="69">
        <f>COUNTIF('(backend scoring)'!$B:$B,'Auto Responses'!$N8)</f>
        <v>18</v>
      </c>
    </row>
    <row r="9" spans="1:34" ht="13" x14ac:dyDescent="0.3">
      <c r="A9" s="12" t="s">
        <v>1580</v>
      </c>
      <c r="B9" s="12" t="s">
        <v>895</v>
      </c>
      <c r="D9" s="11" t="s">
        <v>1552</v>
      </c>
      <c r="L9" s="11" t="s">
        <v>663</v>
      </c>
      <c r="N9" s="11" t="s">
        <v>940</v>
      </c>
      <c r="O9" s="11" t="s">
        <v>941</v>
      </c>
      <c r="P9" s="69">
        <f>COUNTIF('(backend scoring)'!$B:$B,'Auto Responses'!$N9)</f>
        <v>5</v>
      </c>
    </row>
    <row r="10" spans="1:34" ht="13" x14ac:dyDescent="0.3">
      <c r="A10" s="12" t="s">
        <v>1581</v>
      </c>
      <c r="B10" s="12" t="s">
        <v>894</v>
      </c>
      <c r="N10" s="11" t="s">
        <v>942</v>
      </c>
      <c r="O10" s="11" t="s">
        <v>943</v>
      </c>
      <c r="P10" s="69">
        <f>COUNTIF('(backend scoring)'!$B:$B,'Auto Responses'!$N10)</f>
        <v>9</v>
      </c>
    </row>
    <row r="11" spans="1:34" ht="13" x14ac:dyDescent="0.3">
      <c r="A11" s="12" t="s">
        <v>1582</v>
      </c>
      <c r="B11" s="12" t="s">
        <v>893</v>
      </c>
      <c r="J11" s="11" t="s">
        <v>46</v>
      </c>
      <c r="N11" s="11" t="s">
        <v>944</v>
      </c>
      <c r="O11" s="11" t="s">
        <v>945</v>
      </c>
      <c r="P11" s="69">
        <f>COUNTIF('(backend scoring)'!$B:$B,'Auto Responses'!$N11)</f>
        <v>14</v>
      </c>
    </row>
    <row r="12" spans="1:34" ht="13" x14ac:dyDescent="0.3">
      <c r="A12" s="12" t="s">
        <v>1207</v>
      </c>
      <c r="B12" s="12" t="s">
        <v>892</v>
      </c>
      <c r="F12" s="12"/>
      <c r="J12" s="11" t="s">
        <v>75</v>
      </c>
      <c r="N12" s="11" t="s">
        <v>946</v>
      </c>
      <c r="O12" s="11" t="s">
        <v>1520</v>
      </c>
      <c r="P12" s="69">
        <f>COUNTIF('(backend scoring)'!$B:$B,'Auto Responses'!$N12)</f>
        <v>18</v>
      </c>
    </row>
    <row r="13" spans="1:34" ht="13" x14ac:dyDescent="0.3">
      <c r="A13" s="12" t="s">
        <v>1208</v>
      </c>
      <c r="B13" s="12" t="s">
        <v>891</v>
      </c>
      <c r="F13" s="12"/>
      <c r="J13" s="11" t="s">
        <v>41</v>
      </c>
      <c r="N13" s="11" t="s">
        <v>947</v>
      </c>
      <c r="O13" s="11" t="s">
        <v>948</v>
      </c>
      <c r="P13" s="69">
        <f>COUNTIF('(backend scoring)'!$B:$B,'Auto Responses'!$N13)</f>
        <v>16</v>
      </c>
    </row>
    <row r="14" spans="1:34" ht="13" x14ac:dyDescent="0.3">
      <c r="A14" s="12" t="s">
        <v>53</v>
      </c>
      <c r="B14" s="12" t="s">
        <v>890</v>
      </c>
      <c r="J14" s="11" t="s">
        <v>924</v>
      </c>
      <c r="N14" s="11" t="s">
        <v>949</v>
      </c>
      <c r="O14" s="11" t="s">
        <v>950</v>
      </c>
      <c r="P14" s="69">
        <f>COUNTIF('(backend scoring)'!$B:$B,'Auto Responses'!$N14)</f>
        <v>23</v>
      </c>
    </row>
    <row r="15" spans="1:34" ht="13" x14ac:dyDescent="0.3">
      <c r="A15" s="12" t="s">
        <v>52</v>
      </c>
      <c r="B15" s="12" t="s">
        <v>889</v>
      </c>
      <c r="N15" s="11" t="s">
        <v>951</v>
      </c>
      <c r="O15" s="11" t="s">
        <v>952</v>
      </c>
      <c r="P15" s="69">
        <f>COUNTIF('(backend scoring)'!$B:$B,'Auto Responses'!$N15)</f>
        <v>16</v>
      </c>
    </row>
    <row r="16" spans="1:34" ht="13" x14ac:dyDescent="0.3">
      <c r="A16" s="12" t="s">
        <v>1209</v>
      </c>
      <c r="B16" s="12" t="s">
        <v>888</v>
      </c>
      <c r="N16" s="11" t="s">
        <v>953</v>
      </c>
      <c r="O16" s="11" t="s">
        <v>1604</v>
      </c>
      <c r="P16" s="69">
        <f>COUNTIF('(backend scoring)'!$B:$B,'Auto Responses'!$N16)</f>
        <v>11</v>
      </c>
    </row>
    <row r="17" spans="1:20" ht="13" x14ac:dyDescent="0.3">
      <c r="A17" s="12" t="s">
        <v>1210</v>
      </c>
      <c r="B17" s="12" t="s">
        <v>887</v>
      </c>
      <c r="J17" s="11" t="s">
        <v>1221</v>
      </c>
      <c r="N17" s="11" t="s">
        <v>954</v>
      </c>
      <c r="O17" s="11" t="s">
        <v>955</v>
      </c>
      <c r="P17" s="69">
        <f>COUNTIF('(backend scoring)'!$B:$B,'Auto Responses'!$N17)</f>
        <v>15</v>
      </c>
    </row>
    <row r="18" spans="1:20" ht="13" x14ac:dyDescent="0.3">
      <c r="A18" s="12" t="s">
        <v>1211</v>
      </c>
      <c r="B18" s="12" t="s">
        <v>886</v>
      </c>
      <c r="J18" s="11" t="s">
        <v>1222</v>
      </c>
      <c r="N18" s="11" t="s">
        <v>956</v>
      </c>
      <c r="O18" s="11" t="s">
        <v>957</v>
      </c>
      <c r="P18" s="69">
        <f>COUNTIF('(backend scoring)'!$B:$B,'Auto Responses'!$N18)</f>
        <v>4</v>
      </c>
    </row>
    <row r="19" spans="1:20" ht="13" x14ac:dyDescent="0.3">
      <c r="A19" s="12" t="s">
        <v>1212</v>
      </c>
      <c r="B19" s="12" t="s">
        <v>885</v>
      </c>
      <c r="J19" s="11" t="s">
        <v>1223</v>
      </c>
      <c r="N19" s="11" t="s">
        <v>958</v>
      </c>
      <c r="O19" s="11" t="s">
        <v>959</v>
      </c>
      <c r="P19" s="69">
        <f>COUNTIF('(backend scoring)'!$B:$B,'Auto Responses'!$N19)</f>
        <v>6</v>
      </c>
    </row>
    <row r="20" spans="1:20" ht="13" x14ac:dyDescent="0.3">
      <c r="A20" s="12" t="s">
        <v>1213</v>
      </c>
      <c r="B20" s="12" t="s">
        <v>884</v>
      </c>
      <c r="J20" s="11" t="s">
        <v>918</v>
      </c>
      <c r="N20" s="11" t="s">
        <v>960</v>
      </c>
      <c r="O20" s="11" t="s">
        <v>1521</v>
      </c>
      <c r="P20" s="69">
        <f>COUNTIF('(backend scoring)'!$B:$B,'Auto Responses'!$N20)</f>
        <v>29</v>
      </c>
    </row>
    <row r="21" spans="1:20" ht="13" x14ac:dyDescent="0.3">
      <c r="A21" s="12" t="s">
        <v>1214</v>
      </c>
      <c r="B21" s="12" t="s">
        <v>883</v>
      </c>
      <c r="J21" s="11" t="s">
        <v>919</v>
      </c>
      <c r="N21" s="11" t="s">
        <v>961</v>
      </c>
      <c r="O21" s="11" t="s">
        <v>997</v>
      </c>
      <c r="P21" s="69">
        <f>COUNTIF('(backend scoring)'!$B:$B,'Auto Responses'!$N21)</f>
        <v>12</v>
      </c>
    </row>
    <row r="22" spans="1:20" ht="13" x14ac:dyDescent="0.3">
      <c r="A22" s="12" t="s">
        <v>1215</v>
      </c>
      <c r="B22" s="12" t="s">
        <v>882</v>
      </c>
      <c r="J22" s="11" t="s">
        <v>920</v>
      </c>
      <c r="N22" s="11" t="s">
        <v>962</v>
      </c>
      <c r="O22" s="11" t="s">
        <v>1216</v>
      </c>
      <c r="P22" s="69">
        <f>COUNTIF('(backend scoring)'!$B:$B,'Auto Responses'!$N22)</f>
        <v>10</v>
      </c>
    </row>
    <row r="23" spans="1:20" ht="13" x14ac:dyDescent="0.3">
      <c r="A23" s="12" t="s">
        <v>1217</v>
      </c>
      <c r="B23" s="12" t="s">
        <v>881</v>
      </c>
      <c r="J23" s="11" t="s">
        <v>1592</v>
      </c>
      <c r="N23" s="11" t="s">
        <v>963</v>
      </c>
      <c r="O23" s="11" t="s">
        <v>964</v>
      </c>
      <c r="P23" s="69">
        <f>COUNTIF('(backend scoring)'!$B:$B,'Auto Responses'!$N23)</f>
        <v>5</v>
      </c>
    </row>
    <row r="24" spans="1:20" ht="13" x14ac:dyDescent="0.3">
      <c r="A24" s="12" t="s">
        <v>1484</v>
      </c>
      <c r="B24" s="12" t="s">
        <v>880</v>
      </c>
      <c r="N24" s="11" t="s">
        <v>965</v>
      </c>
      <c r="O24" s="11" t="s">
        <v>966</v>
      </c>
      <c r="P24" s="69">
        <f>COUNTIF('(backend scoring)'!$B:$B,'Auto Responses'!$N24)</f>
        <v>4</v>
      </c>
    </row>
    <row r="25" spans="1:20" ht="13" x14ac:dyDescent="0.3">
      <c r="A25" s="12" t="s">
        <v>1485</v>
      </c>
      <c r="B25" s="12" t="s">
        <v>879</v>
      </c>
      <c r="N25" s="11" t="s">
        <v>967</v>
      </c>
      <c r="O25" s="11" t="s">
        <v>994</v>
      </c>
      <c r="P25" s="69">
        <f>COUNTIF('(backend scoring)'!$B:$B,'Auto Responses'!$N25)</f>
        <v>3</v>
      </c>
    </row>
    <row r="26" spans="1:20" ht="13" x14ac:dyDescent="0.3">
      <c r="A26" s="12" t="s">
        <v>878</v>
      </c>
      <c r="B26" s="12" t="s">
        <v>877</v>
      </c>
      <c r="N26" s="11" t="s">
        <v>968</v>
      </c>
      <c r="O26" s="11" t="s">
        <v>969</v>
      </c>
      <c r="P26" s="69">
        <f>COUNTIF('(backend scoring)'!$B:$B,'Auto Responses'!$N26)</f>
        <v>2</v>
      </c>
    </row>
    <row r="27" spans="1:20" ht="15.75" customHeight="1" x14ac:dyDescent="0.3">
      <c r="A27" s="11" t="s">
        <v>1481</v>
      </c>
      <c r="J27" s="11" t="s">
        <v>37</v>
      </c>
      <c r="N27" s="11" t="s">
        <v>970</v>
      </c>
      <c r="O27" s="11" t="s">
        <v>971</v>
      </c>
      <c r="P27" s="69">
        <f>COUNTIF('(backend scoring)'!$B:$B,'Auto Responses'!$N27)</f>
        <v>2</v>
      </c>
    </row>
    <row r="28" spans="1:20" ht="15.75" customHeight="1" x14ac:dyDescent="0.3">
      <c r="A28" s="12" t="s">
        <v>1524</v>
      </c>
      <c r="J28" s="11" t="s">
        <v>22</v>
      </c>
      <c r="N28" s="11" t="s">
        <v>972</v>
      </c>
      <c r="O28" s="11" t="s">
        <v>973</v>
      </c>
      <c r="P28" s="69">
        <f>COUNTIF('(backend scoring)'!$B:$B,'Auto Responses'!$N28)</f>
        <v>8</v>
      </c>
    </row>
    <row r="29" spans="1:20" ht="15.75" customHeight="1" x14ac:dyDescent="0.3">
      <c r="A29" s="12"/>
      <c r="N29" s="11" t="s">
        <v>974</v>
      </c>
      <c r="O29" s="11" t="s">
        <v>975</v>
      </c>
      <c r="P29" s="69">
        <f>COUNTIF('(backend scoring)'!$B:$B,'Auto Responses'!$N29)</f>
        <v>13</v>
      </c>
    </row>
    <row r="30" spans="1:20" ht="15.75" customHeight="1" x14ac:dyDescent="0.3">
      <c r="A30" s="12"/>
      <c r="N30" s="11" t="s">
        <v>976</v>
      </c>
      <c r="O30" s="11" t="s">
        <v>977</v>
      </c>
      <c r="P30" s="69">
        <f>COUNTIF('(backend scoring)'!$B:$B,'Auto Responses'!$N30)</f>
        <v>5</v>
      </c>
    </row>
    <row r="31" spans="1:20" ht="15.75" customHeight="1" x14ac:dyDescent="0.3">
      <c r="A31" s="12"/>
      <c r="N31" s="11" t="s">
        <v>1113</v>
      </c>
      <c r="O31" s="11" t="s">
        <v>978</v>
      </c>
      <c r="P31" s="69">
        <f>COUNTIF('(backend scoring)'!$B:$B,'Auto Responses'!$N31)</f>
        <v>15</v>
      </c>
      <c r="T31" s="12"/>
    </row>
    <row r="32" spans="1:20" ht="15.75" customHeight="1" x14ac:dyDescent="0.3">
      <c r="A32" s="12"/>
      <c r="N32" s="11" t="s">
        <v>979</v>
      </c>
      <c r="O32" s="11" t="s">
        <v>980</v>
      </c>
      <c r="P32" s="69">
        <f>COUNTIF('(backend scoring)'!$B:$B,'Auto Responses'!$N32)</f>
        <v>8</v>
      </c>
    </row>
    <row r="33" spans="1:16" ht="15.75" customHeight="1" x14ac:dyDescent="0.3">
      <c r="N33" s="11" t="s">
        <v>981</v>
      </c>
      <c r="O33" s="11" t="s">
        <v>982</v>
      </c>
      <c r="P33" s="69">
        <f>COUNTIF('(backend scoring)'!$B:$B,'Auto Responses'!$N33)</f>
        <v>2</v>
      </c>
    </row>
    <row r="34" spans="1:16" ht="15.75" customHeight="1" x14ac:dyDescent="0.3">
      <c r="A34" s="12"/>
      <c r="N34" s="11" t="s">
        <v>983</v>
      </c>
      <c r="O34" s="11" t="s">
        <v>984</v>
      </c>
      <c r="P34" s="69">
        <f>COUNTIF('(backend scoring)'!$B:$B,'Auto Responses'!$N34)</f>
        <v>5</v>
      </c>
    </row>
    <row r="35" spans="1:16" ht="15.75" customHeight="1" x14ac:dyDescent="0.3">
      <c r="A35" s="12"/>
      <c r="N35" s="11" t="s">
        <v>985</v>
      </c>
      <c r="O35" s="11" t="s">
        <v>986</v>
      </c>
      <c r="P35" s="69">
        <f>COUNTIF('(backend scoring)'!$B:$B,'Auto Responses'!$N35)</f>
        <v>5</v>
      </c>
    </row>
    <row r="36" spans="1:16" ht="15.75" customHeight="1" x14ac:dyDescent="0.3">
      <c r="A36" s="12" t="s">
        <v>1619</v>
      </c>
      <c r="N36" s="11" t="s">
        <v>987</v>
      </c>
      <c r="O36" s="11" t="s">
        <v>988</v>
      </c>
      <c r="P36" s="69">
        <f>COUNTIF('(backend scoring)'!$B:$B,'Auto Responses'!$N36)</f>
        <v>5</v>
      </c>
    </row>
    <row r="37" spans="1:16" ht="15.75" customHeight="1" x14ac:dyDescent="0.3">
      <c r="A37" s="12"/>
      <c r="N37" s="11" t="s">
        <v>989</v>
      </c>
      <c r="O37" s="11" t="s">
        <v>990</v>
      </c>
      <c r="P37" s="69">
        <f>COUNTIF('(backend scoring)'!$B:$B,'Auto Responses'!$N37)</f>
        <v>8</v>
      </c>
    </row>
    <row r="38" spans="1:16" ht="15.75" customHeight="1" x14ac:dyDescent="0.3">
      <c r="A38" s="12"/>
      <c r="N38" s="11" t="s">
        <v>991</v>
      </c>
      <c r="O38" s="11" t="s">
        <v>992</v>
      </c>
      <c r="P38" s="69">
        <f>COUNTIF('(backend scoring)'!$B:$B,'Auto Responses'!$N38)</f>
        <v>6</v>
      </c>
    </row>
    <row r="39" spans="1:16" ht="15.75" customHeight="1" x14ac:dyDescent="0.3">
      <c r="A39" s="259" t="s">
        <v>1532</v>
      </c>
    </row>
    <row r="40" spans="1:16" ht="15.75" hidden="1" customHeight="1" x14ac:dyDescent="0.3">
      <c r="A40" s="12"/>
    </row>
    <row r="41" spans="1:16" ht="15.75" hidden="1" customHeight="1" x14ac:dyDescent="0.3">
      <c r="A41" s="12"/>
    </row>
    <row r="42" spans="1:16" ht="15.75" hidden="1" customHeight="1" x14ac:dyDescent="0.3">
      <c r="A42" s="223"/>
    </row>
    <row r="43" spans="1:16" ht="15.75" hidden="1" customHeight="1" x14ac:dyDescent="0.3">
      <c r="A43" s="12"/>
    </row>
    <row r="44" spans="1:16" ht="15.75" hidden="1" customHeight="1" x14ac:dyDescent="0.3">
      <c r="A44" s="12"/>
    </row>
    <row r="45" spans="1:16" ht="15.75" hidden="1" customHeight="1" x14ac:dyDescent="0.3">
      <c r="A45" s="12"/>
    </row>
    <row r="51" spans="4:4" ht="15.75" hidden="1" customHeight="1" x14ac:dyDescent="0.3">
      <c r="D51" s="224"/>
    </row>
    <row r="52" spans="4:4" ht="15.75" hidden="1" customHeight="1" x14ac:dyDescent="0.3">
      <c r="D52" s="224"/>
    </row>
    <row r="53" spans="4:4" ht="15.75" hidden="1" customHeight="1" x14ac:dyDescent="0.3">
      <c r="D53" s="224"/>
    </row>
    <row r="54" spans="4:4" ht="15.75" hidden="1" customHeight="1" x14ac:dyDescent="0.3">
      <c r="D54" s="224"/>
    </row>
    <row r="55" spans="4:4" ht="15.75" hidden="1" customHeight="1" x14ac:dyDescent="0.3">
      <c r="D55" s="224"/>
    </row>
    <row r="56" spans="4:4" ht="15.75" hidden="1" customHeight="1" x14ac:dyDescent="0.3">
      <c r="D56" s="224"/>
    </row>
    <row r="57" spans="4:4" ht="15.75" hidden="1" customHeight="1" x14ac:dyDescent="0.3">
      <c r="D57" s="224"/>
    </row>
    <row r="58" spans="4:4" ht="15.75" hidden="1" customHeight="1" x14ac:dyDescent="0.3">
      <c r="D58" s="224"/>
    </row>
    <row r="59" spans="4:4" ht="15.75" hidden="1" customHeight="1" x14ac:dyDescent="0.3">
      <c r="D59" s="224"/>
    </row>
    <row r="60" spans="4:4" ht="15.75" hidden="1" customHeight="1" x14ac:dyDescent="0.3">
      <c r="D60" s="224"/>
    </row>
    <row r="61" spans="4:4" ht="15.75" hidden="1" customHeight="1" x14ac:dyDescent="0.3">
      <c r="D61" s="224"/>
    </row>
    <row r="62" spans="4:4" ht="15.75" hidden="1" customHeight="1" x14ac:dyDescent="0.3">
      <c r="D62" s="224"/>
    </row>
    <row r="63" spans="4:4" ht="15.75" hidden="1" customHeight="1" x14ac:dyDescent="0.3">
      <c r="D63" s="224"/>
    </row>
    <row r="64" spans="4:4" ht="15.75" hidden="1" customHeight="1" x14ac:dyDescent="0.3">
      <c r="D64" s="224"/>
    </row>
    <row r="65" spans="4:4" ht="15.75" hidden="1" customHeight="1" x14ac:dyDescent="0.3">
      <c r="D65" s="224"/>
    </row>
  </sheetData>
  <conditionalFormatting sqref="D8">
    <cfRule type="expression" dxfId="0" priority="1">
      <formula>ISNUMBER(FIND("*",#REF!))</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A376-A694-4C57-ABC3-273136BB8C1A}">
  <sheetPr>
    <tabColor theme="2" tint="-9.9978637043366805E-2"/>
  </sheetPr>
  <dimension ref="A1:W963"/>
  <sheetViews>
    <sheetView zoomScale="90" zoomScaleNormal="90" workbookViewId="0">
      <pane xSplit="1" ySplit="2" topLeftCell="C307" activePane="bottomRight" state="frozen"/>
      <selection pane="topRight" activeCell="B1" sqref="B1"/>
      <selection pane="bottomLeft" activeCell="A2" sqref="A2"/>
      <selection pane="bottomRight" activeCell="O314" sqref="O314"/>
    </sheetView>
  </sheetViews>
  <sheetFormatPr defaultColWidth="0" defaultRowHeight="15" zeroHeight="1" x14ac:dyDescent="0.3"/>
  <cols>
    <col min="1" max="1" width="8.796875" style="8" customWidth="1"/>
    <col min="2" max="2" width="0" style="8" hidden="1" customWidth="1"/>
    <col min="3" max="3" width="35.6640625" style="8" customWidth="1"/>
    <col min="4" max="4" width="15.3984375" style="8" customWidth="1"/>
    <col min="5" max="6" width="12.6640625" style="8" customWidth="1"/>
    <col min="7" max="8" width="8.796875" style="8" customWidth="1"/>
    <col min="9" max="10" width="10.86328125" style="8" customWidth="1"/>
    <col min="11" max="11" width="11.19921875" style="8" customWidth="1"/>
    <col min="12" max="12" width="12" style="114" customWidth="1"/>
    <col min="13" max="14" width="13" style="108" customWidth="1"/>
    <col min="15" max="16" width="8.796875" style="108" customWidth="1"/>
    <col min="17" max="22" width="8.796875" style="114" customWidth="1"/>
    <col min="23" max="23" width="8.796875" style="108" customWidth="1"/>
    <col min="24" max="16384" width="8.796875" style="108" hidden="1"/>
  </cols>
  <sheetData>
    <row r="1" spans="1:22" hidden="1" x14ac:dyDescent="0.3">
      <c r="A1" s="262" t="s">
        <v>1538</v>
      </c>
    </row>
    <row r="2" spans="1:22" ht="84" x14ac:dyDescent="0.3">
      <c r="A2" s="109" t="s">
        <v>0</v>
      </c>
      <c r="B2" s="115" t="s">
        <v>1019</v>
      </c>
      <c r="C2" s="109" t="s">
        <v>1</v>
      </c>
      <c r="D2" s="109" t="s">
        <v>10</v>
      </c>
      <c r="E2" s="110" t="s">
        <v>11</v>
      </c>
      <c r="F2" s="111" t="s">
        <v>903</v>
      </c>
      <c r="G2" s="112" t="s">
        <v>925</v>
      </c>
      <c r="H2" s="112" t="s">
        <v>927</v>
      </c>
      <c r="I2" s="113" t="s">
        <v>19</v>
      </c>
      <c r="J2" s="112" t="s">
        <v>912</v>
      </c>
      <c r="K2" s="112" t="s">
        <v>1017</v>
      </c>
      <c r="L2" s="112" t="s">
        <v>1016</v>
      </c>
      <c r="M2" s="112" t="s">
        <v>1018</v>
      </c>
      <c r="N2" s="112" t="s">
        <v>1022</v>
      </c>
      <c r="O2" s="112" t="s">
        <v>1014</v>
      </c>
      <c r="P2" s="112" t="s">
        <v>1015</v>
      </c>
      <c r="Q2" s="166" t="s">
        <v>1034</v>
      </c>
      <c r="R2" s="166" t="s">
        <v>1035</v>
      </c>
      <c r="S2" s="166" t="s">
        <v>1036</v>
      </c>
      <c r="T2" s="166" t="s">
        <v>1037</v>
      </c>
      <c r="U2" s="166" t="s">
        <v>1038</v>
      </c>
      <c r="V2" s="166" t="s">
        <v>1039</v>
      </c>
    </row>
    <row r="3" spans="1:22" ht="56" x14ac:dyDescent="0.3">
      <c r="A3" s="10" t="str">
        <f>Questions!$A3</f>
        <v>GNRL-01</v>
      </c>
      <c r="B3" s="10" t="str">
        <f>LEFT(A3,4)</f>
        <v>GNRL</v>
      </c>
      <c r="C3" s="10" t="str">
        <f>VLOOKUP($A3,Questions!$A$3:$L$333,2,0)&amp;""</f>
        <v>Solution Provider Name</v>
      </c>
      <c r="D3" s="10" t="str">
        <f>VLOOKUP($A3,Questions!$A$3:$L$333,11,0)&amp;""</f>
        <v>NA</v>
      </c>
      <c r="E3" s="10" t="str">
        <f>VLOOKUP($A3,Questions!$A$3:$L$333,12,0)&amp;""</f>
        <v>Not Scored</v>
      </c>
      <c r="F3" s="10" t="str">
        <f>VLOOKUP($A3,'Institution Evaluation'!$A$56:$K$346,3,0)&amp;""</f>
        <v xml:space="preserve">Cirrus Identity </v>
      </c>
      <c r="G3" s="10" t="str">
        <f>VLOOKUP($A3,'Institution Evaluation'!$A$56:$K$346,7,0)&amp;""</f>
        <v>Not scored</v>
      </c>
      <c r="H3" s="10" t="str">
        <f>VLOOKUP($A3,'Institution Evaluation'!$A$56:$K$346,8,0)&amp;""</f>
        <v/>
      </c>
      <c r="I3" s="10" t="str">
        <f>VLOOKUP($A3,'Institution Evaluation'!$A$56:$K$346,9,0)&amp;""</f>
        <v/>
      </c>
      <c r="J3" s="10" t="str">
        <f>VLOOKUP($A3,'Institution Evaluation'!$A$56:$K$346,10,0)&amp;""</f>
        <v/>
      </c>
      <c r="K3" s="10">
        <f>IF($I3="Critical Importance",20,IF($I3="Minor Importance",5,10))</f>
        <v>10</v>
      </c>
      <c r="L3" s="114" t="str">
        <f>IF($E3="Not Scored", "N/A",IF(AND($D3='Auto Responses'!$J$27,$H3=""),"N/A",IF(AND($D3='Auto Responses'!$J$27,$H3='Auto Responses'!$J$7),1,IF(AND($D3='Auto Responses'!$J$27,$H3='Auto Responses'!$J$8),0,IF(OR($F3=$G3,$H3='Auto Responses'!$J$7),1,0)))))</f>
        <v>N/A</v>
      </c>
      <c r="M3" s="10" t="str">
        <f>VLOOKUP($A3,'Institution Evaluation'!$A$56:$K$346,10,0)&amp;""</f>
        <v/>
      </c>
      <c r="N3" s="10">
        <f>IF($J3="Critical Importance",1,IF(AND($J3="",$I3="Critical Importance"),1,0))</f>
        <v>0</v>
      </c>
      <c r="O3" s="114" t="str">
        <f>IF($E3="Not Scored","N/A",IF($J3="",$K3,IF($J3="Minor Importance",5,IF($J3="Standard Importance",10,IF($J3="Critical Importance",20,0)))))</f>
        <v>N/A</v>
      </c>
      <c r="P3" s="114" t="str">
        <f>IF(OR($O3="N/A",$L3="N/A"),"N/A",$O3*$L3)</f>
        <v>N/A</v>
      </c>
      <c r="Q3" s="114">
        <f>IF(M3="TRUE",1,0)</f>
        <v>0</v>
      </c>
      <c r="R3" s="114">
        <f>Q3</f>
        <v>0</v>
      </c>
      <c r="S3" s="114">
        <f>IF(Q3=0,0,R3)</f>
        <v>0</v>
      </c>
      <c r="T3" s="114">
        <f>IF(N3=1,1,0)</f>
        <v>0</v>
      </c>
      <c r="U3" s="114">
        <f>T3</f>
        <v>0</v>
      </c>
      <c r="V3" s="114">
        <f>IF(T3=0,0,U3)</f>
        <v>0</v>
      </c>
    </row>
    <row r="4" spans="1:22" ht="238" x14ac:dyDescent="0.3">
      <c r="A4" s="10" t="str">
        <f>Questions!$A4</f>
        <v>GNRL-02</v>
      </c>
      <c r="B4" s="10" t="str">
        <f t="shared" ref="B4:B67" si="0">LEFT(A4,4)</f>
        <v>GNRL</v>
      </c>
      <c r="C4" s="10" t="str">
        <f>VLOOKUP($A4,Questions!$A$3:$L$333,2,0)&amp;""</f>
        <v>Solution Name</v>
      </c>
      <c r="D4" s="10" t="str">
        <f>VLOOKUP($A4,Questions!$A$3:$L$333,11,0)&amp;""</f>
        <v>NA</v>
      </c>
      <c r="E4" s="10" t="str">
        <f>VLOOKUP($A4,Questions!$A$3:$L$333,12,0)&amp;""</f>
        <v>Not Scored</v>
      </c>
      <c r="F4" s="10" t="str">
        <f>VLOOKUP($A4,'Institution Evaluation'!$A$56:$K$346,3,0)&amp;""</f>
        <v>Cirrus Identity Gateway, Cirrus Identity Proxy, Cirrus Identity Bridge, Cirrus Identity Attribute Authority, Cirrus Identity Invitation, Cirrus Identity Account Linking, Cirrus Identity OrgBrandedID, and Cirrus Identity MFA -- Collective referred to as Cirrus Identity Products</v>
      </c>
      <c r="G4" s="10" t="str">
        <f>VLOOKUP($A4,'Institution Evaluation'!$A$56:$K$346,7,0)&amp;""</f>
        <v>Not scored</v>
      </c>
      <c r="H4" s="10" t="str">
        <f>VLOOKUP($A4,'Institution Evaluation'!$A$56:$K$346,8,0)&amp;""</f>
        <v/>
      </c>
      <c r="I4" s="10" t="str">
        <f>VLOOKUP($A4,'Institution Evaluation'!$A$56:$K$346,9,0)&amp;""</f>
        <v/>
      </c>
      <c r="J4" s="10" t="str">
        <f>VLOOKUP($A4,'Institution Evaluation'!$A$56:$K$346,10,0)&amp;""</f>
        <v/>
      </c>
      <c r="K4" s="10">
        <f t="shared" ref="K4:K67" si="1">IF($I4="Critical Importance",20,IF($I4="Minor Importance",5,10))</f>
        <v>10</v>
      </c>
      <c r="L4" s="114" t="str">
        <f>IF($E4="Not Scored", "N/A",IF(AND($D4='Auto Responses'!$J$27,$H4=""),"N/A",IF(AND($D4='Auto Responses'!$J$27,$H4='Auto Responses'!$J$7),1,IF(AND($D4='Auto Responses'!$J$27,$H4='Auto Responses'!$J$8),0,IF(OR($F4=$G4,$H4='Auto Responses'!$J$7),1,0)))))</f>
        <v>N/A</v>
      </c>
      <c r="M4" s="10" t="str">
        <f>VLOOKUP($A4,'Institution Evaluation'!$A$56:$K$346,10,0)&amp;""</f>
        <v/>
      </c>
      <c r="N4" s="10">
        <f t="shared" ref="N4:N67" si="2">IF($J4="Critical Importance",1,IF(AND($J4="",$I4="Critical Importance"),1,0))</f>
        <v>0</v>
      </c>
      <c r="O4" s="114" t="str">
        <f t="shared" ref="O4:O54" si="3">IF($E4="Not Scored","N/A",IF($J4="",$K4,IF($J4="Minor Importance",5,IF($J4="Standard Importance",10,IF($J4="Critical Importance",20,0)))))</f>
        <v>N/A</v>
      </c>
      <c r="P4" s="114" t="str">
        <f t="shared" ref="P4:P67" si="4">IF(OR($O4="N/A",$L4="N/A"),"N/A",$O4*$L4)</f>
        <v>N/A</v>
      </c>
      <c r="Q4" s="114">
        <f t="shared" ref="Q4:Q66" si="5">IF(M4="TRUE",1,0)</f>
        <v>0</v>
      </c>
      <c r="R4" s="114">
        <f>R3+Q4</f>
        <v>0</v>
      </c>
      <c r="S4" s="114">
        <f t="shared" ref="S4:S66" si="6">IF(Q4=0,0,R4)</f>
        <v>0</v>
      </c>
      <c r="T4" s="114">
        <f t="shared" ref="T4:T66" si="7">IF(N4=1,1,0)</f>
        <v>0</v>
      </c>
      <c r="U4" s="114">
        <f>U3+T4</f>
        <v>0</v>
      </c>
      <c r="V4" s="114">
        <f t="shared" ref="V4:V66" si="8">IF(T4=0,0,U4)</f>
        <v>0</v>
      </c>
    </row>
    <row r="5" spans="1:22" ht="409.5" x14ac:dyDescent="0.3">
      <c r="A5" s="10" t="str">
        <f>Questions!$A5</f>
        <v>GNRL-03</v>
      </c>
      <c r="B5" s="10" t="str">
        <f t="shared" si="0"/>
        <v>GNRL</v>
      </c>
      <c r="C5" s="10" t="str">
        <f>VLOOKUP($A5,Questions!$A$3:$L$333,2,0)&amp;""</f>
        <v>Solution Description</v>
      </c>
      <c r="D5" s="10" t="str">
        <f>VLOOKUP($A5,Questions!$A$3:$L$333,11,0)&amp;""</f>
        <v>NA</v>
      </c>
      <c r="E5" s="10" t="str">
        <f>VLOOKUP($A5,Questions!$A$3:$L$333,12,0)&amp;""</f>
        <v>Not Scored</v>
      </c>
      <c r="F5" s="10" t="str">
        <f>VLOOKUP($A5,'Institution Evaluation'!$A$56:$K$346,3,0)&amp;""</f>
        <v>Cirrus Identity offers a series of SaaS based products that customers may subscribe to define a system that meets their specific business needs. The current products are described at https://www.cirrusidentity.com/products. As of August 2024, the products available are: 
Cirrus Identity Gateway: Allows personal account login in an enterprise web SSO environment. 
Cirrus Identity Proxy: Serves as a single identity integration endpoint. Enables federation for applications/services that can only support a single SAML IdP endpoint. Can manage custom attribute assertion at the Organization and Service Provider Levels, including any attributes linked using our Account Linking Service.
Cirrus Identity Bridge: Allows a commercial SSO system (such as Entra ID, Okta, or Slate) to be used with an Identity Federation (such as InCommon) or the CAS protocol.
Cirrus Identity Attribute Authority: Allows attributes from an external system to be added to the outgoing assertion from a Cirrus Identity Bridge or Proxy, to be used as a Microsoft Entra ID Custom Claims Provider.
Cirrus Identity Invitation: A web-based workflow that allows institutional identity holders (e.g. students/faculty/staff) of Customer’s institution to invite guests to register a personal account.
Cirrus Identity Account Linking: Facilitates linking of internal enterprise identifiers to one or more login methods, including personal accounts such as Google, Microsoft or others.
Cirrus Identity OrgBrandedID: Provides a hosted solution for registering self-asserted digital identities that can be used for authentication to SAML-enabled applications. 
Cirrus Identity MFA: Provides a hosted, generic second factor authentication based on the OATH-TOTP standard</v>
      </c>
      <c r="G5" s="10" t="str">
        <f>VLOOKUP($A5,'Institution Evaluation'!$A$56:$K$346,7,0)&amp;""</f>
        <v>Not scored</v>
      </c>
      <c r="H5" s="10" t="str">
        <f>VLOOKUP($A5,'Institution Evaluation'!$A$56:$K$346,8,0)&amp;""</f>
        <v/>
      </c>
      <c r="I5" s="10" t="str">
        <f>VLOOKUP($A5,'Institution Evaluation'!$A$56:$K$346,9,0)&amp;""</f>
        <v/>
      </c>
      <c r="J5" s="10" t="str">
        <f>VLOOKUP($A5,'Institution Evaluation'!$A$56:$K$346,10,0)&amp;""</f>
        <v/>
      </c>
      <c r="K5" s="10">
        <f t="shared" si="1"/>
        <v>10</v>
      </c>
      <c r="L5" s="114" t="str">
        <f>IF($E5="Not Scored", "N/A",IF(AND($D5='Auto Responses'!$J$27,$H5=""),"N/A",IF(AND($D5='Auto Responses'!$J$27,$H5='Auto Responses'!$J$7),1,IF(AND($D5='Auto Responses'!$J$27,$H5='Auto Responses'!$J$8),0,IF(OR($F5=$G5,$H5='Auto Responses'!$J$7),1,0)))))</f>
        <v>N/A</v>
      </c>
      <c r="M5" s="10" t="str">
        <f>VLOOKUP($A5,'Institution Evaluation'!$A$56:$K$346,10,0)&amp;""</f>
        <v/>
      </c>
      <c r="N5" s="10">
        <f t="shared" si="2"/>
        <v>0</v>
      </c>
      <c r="O5" s="114" t="str">
        <f t="shared" si="3"/>
        <v>N/A</v>
      </c>
      <c r="P5" s="114" t="str">
        <f t="shared" si="4"/>
        <v>N/A</v>
      </c>
      <c r="Q5" s="114">
        <f t="shared" si="5"/>
        <v>0</v>
      </c>
      <c r="R5" s="114">
        <f t="shared" ref="R5:R68" si="9">R4+Q5</f>
        <v>0</v>
      </c>
      <c r="S5" s="114">
        <f t="shared" si="6"/>
        <v>0</v>
      </c>
      <c r="T5" s="114">
        <f t="shared" si="7"/>
        <v>0</v>
      </c>
      <c r="U5" s="114">
        <f t="shared" ref="U5:U68" si="10">U4+T5</f>
        <v>0</v>
      </c>
      <c r="V5" s="114">
        <f t="shared" si="8"/>
        <v>0</v>
      </c>
    </row>
    <row r="6" spans="1:22" ht="56" x14ac:dyDescent="0.3">
      <c r="A6" s="10" t="str">
        <f>Questions!$A6</f>
        <v>GNRL-04</v>
      </c>
      <c r="B6" s="10" t="str">
        <f t="shared" si="0"/>
        <v>GNRL</v>
      </c>
      <c r="C6" s="10" t="str">
        <f>VLOOKUP($A6,Questions!$A$3:$L$333,2,0)&amp;""</f>
        <v>Solution Provider Contact Name</v>
      </c>
      <c r="D6" s="10" t="str">
        <f>VLOOKUP($A6,Questions!$A$3:$L$333,11,0)&amp;""</f>
        <v>NA</v>
      </c>
      <c r="E6" s="10" t="str">
        <f>VLOOKUP($A6,Questions!$A$3:$L$333,12,0)&amp;""</f>
        <v>Not Scored</v>
      </c>
      <c r="F6" s="10" t="str">
        <f>VLOOKUP($A6,'Institution Evaluation'!$A$56:$K$346,3,0)&amp;""</f>
        <v xml:space="preserve">Mark Rank </v>
      </c>
      <c r="G6" s="10" t="str">
        <f>VLOOKUP($A6,'Institution Evaluation'!$A$56:$K$346,7,0)&amp;""</f>
        <v>Not scored</v>
      </c>
      <c r="H6" s="10" t="str">
        <f>VLOOKUP($A6,'Institution Evaluation'!$A$56:$K$346,8,0)&amp;""</f>
        <v/>
      </c>
      <c r="I6" s="10" t="str">
        <f>VLOOKUP($A6,'Institution Evaluation'!$A$56:$K$346,9,0)&amp;""</f>
        <v/>
      </c>
      <c r="J6" s="10" t="str">
        <f>VLOOKUP($A6,'Institution Evaluation'!$A$56:$K$346,10,0)&amp;""</f>
        <v/>
      </c>
      <c r="K6" s="10">
        <f t="shared" si="1"/>
        <v>10</v>
      </c>
      <c r="L6" s="114" t="str">
        <f>IF($E6="Not Scored", "N/A",IF(AND($D6='Auto Responses'!$J$27,$H6=""),"N/A",IF(AND($D6='Auto Responses'!$J$27,$H6='Auto Responses'!$J$7),1,IF(AND($D6='Auto Responses'!$J$27,$H6='Auto Responses'!$J$8),0,IF(OR($F6=$G6,$H6='Auto Responses'!$J$7),1,0)))))</f>
        <v>N/A</v>
      </c>
      <c r="M6" s="10" t="str">
        <f>VLOOKUP($A6,'Institution Evaluation'!$A$56:$K$346,10,0)&amp;""</f>
        <v/>
      </c>
      <c r="N6" s="10">
        <f t="shared" si="2"/>
        <v>0</v>
      </c>
      <c r="O6" s="114" t="str">
        <f t="shared" si="3"/>
        <v>N/A</v>
      </c>
      <c r="P6" s="114" t="str">
        <f t="shared" si="4"/>
        <v>N/A</v>
      </c>
      <c r="Q6" s="114">
        <f t="shared" si="5"/>
        <v>0</v>
      </c>
      <c r="R6" s="114">
        <f t="shared" si="9"/>
        <v>0</v>
      </c>
      <c r="S6" s="114">
        <f t="shared" si="6"/>
        <v>0</v>
      </c>
      <c r="T6" s="114">
        <f t="shared" si="7"/>
        <v>0</v>
      </c>
      <c r="U6" s="114">
        <f t="shared" si="10"/>
        <v>0</v>
      </c>
      <c r="V6" s="114">
        <f t="shared" si="8"/>
        <v>0</v>
      </c>
    </row>
    <row r="7" spans="1:22" ht="56" x14ac:dyDescent="0.3">
      <c r="A7" s="10" t="str">
        <f>Questions!$A7</f>
        <v>GNRL-05</v>
      </c>
      <c r="B7" s="10" t="str">
        <f t="shared" si="0"/>
        <v>GNRL</v>
      </c>
      <c r="C7" s="10" t="str">
        <f>VLOOKUP($A7,Questions!$A$3:$L$333,2,0)&amp;""</f>
        <v>Solution Provider Contact Title</v>
      </c>
      <c r="D7" s="10" t="str">
        <f>VLOOKUP($A7,Questions!$A$3:$L$333,11,0)&amp;""</f>
        <v>NA</v>
      </c>
      <c r="E7" s="10" t="str">
        <f>VLOOKUP($A7,Questions!$A$3:$L$333,12,0)&amp;""</f>
        <v>Not Scored</v>
      </c>
      <c r="F7" s="10" t="str">
        <f>VLOOKUP($A7,'Institution Evaluation'!$A$56:$K$346,3,0)&amp;""</f>
        <v>Director of Compliance and Strategic Insights</v>
      </c>
      <c r="G7" s="10" t="str">
        <f>VLOOKUP($A7,'Institution Evaluation'!$A$56:$K$346,7,0)&amp;""</f>
        <v>Not scored</v>
      </c>
      <c r="H7" s="10" t="str">
        <f>VLOOKUP($A7,'Institution Evaluation'!$A$56:$K$346,8,0)&amp;""</f>
        <v/>
      </c>
      <c r="I7" s="10" t="str">
        <f>VLOOKUP($A7,'Institution Evaluation'!$A$56:$K$346,9,0)&amp;""</f>
        <v/>
      </c>
      <c r="J7" s="10" t="str">
        <f>VLOOKUP($A7,'Institution Evaluation'!$A$56:$K$346,10,0)&amp;""</f>
        <v/>
      </c>
      <c r="K7" s="10">
        <f t="shared" si="1"/>
        <v>10</v>
      </c>
      <c r="L7" s="114" t="str">
        <f>IF($E7="Not Scored", "N/A",IF(AND($D7='Auto Responses'!$J$27,$H7=""),"N/A",IF(AND($D7='Auto Responses'!$J$27,$H7='Auto Responses'!$J$7),1,IF(AND($D7='Auto Responses'!$J$27,$H7='Auto Responses'!$J$8),0,IF(OR($F7=$G7,$H7='Auto Responses'!$J$7),1,0)))))</f>
        <v>N/A</v>
      </c>
      <c r="M7" s="10" t="str">
        <f>VLOOKUP($A7,'Institution Evaluation'!$A$56:$K$346,10,0)&amp;""</f>
        <v/>
      </c>
      <c r="N7" s="10">
        <f t="shared" si="2"/>
        <v>0</v>
      </c>
      <c r="O7" s="114" t="str">
        <f t="shared" si="3"/>
        <v>N/A</v>
      </c>
      <c r="P7" s="114" t="str">
        <f t="shared" si="4"/>
        <v>N/A</v>
      </c>
      <c r="Q7" s="114">
        <f t="shared" si="5"/>
        <v>0</v>
      </c>
      <c r="R7" s="114">
        <f t="shared" si="9"/>
        <v>0</v>
      </c>
      <c r="S7" s="114">
        <f t="shared" si="6"/>
        <v>0</v>
      </c>
      <c r="T7" s="114">
        <f t="shared" si="7"/>
        <v>0</v>
      </c>
      <c r="U7" s="114">
        <f t="shared" si="10"/>
        <v>0</v>
      </c>
      <c r="V7" s="114">
        <f t="shared" si="8"/>
        <v>0</v>
      </c>
    </row>
    <row r="8" spans="1:22" ht="56" x14ac:dyDescent="0.3">
      <c r="A8" s="10" t="str">
        <f>Questions!$A8</f>
        <v>GNRL-06</v>
      </c>
      <c r="B8" s="10" t="str">
        <f t="shared" si="0"/>
        <v>GNRL</v>
      </c>
      <c r="C8" s="10" t="str">
        <f>VLOOKUP($A8,Questions!$A$3:$L$333,2,0)&amp;""</f>
        <v>Solution Provider Contact Email</v>
      </c>
      <c r="D8" s="10" t="str">
        <f>VLOOKUP($A8,Questions!$A$3:$L$333,11,0)&amp;""</f>
        <v>NA</v>
      </c>
      <c r="E8" s="10" t="str">
        <f>VLOOKUP($A8,Questions!$A$3:$L$333,12,0)&amp;""</f>
        <v>Not Scored</v>
      </c>
      <c r="F8" s="10" t="str">
        <f>VLOOKUP($A8,'Institution Evaluation'!$A$56:$K$346,3,0)&amp;""</f>
        <v>mark.rank@cirrusidentity.com</v>
      </c>
      <c r="G8" s="10" t="str">
        <f>VLOOKUP($A8,'Institution Evaluation'!$A$56:$K$346,7,0)&amp;""</f>
        <v>Not scored</v>
      </c>
      <c r="H8" s="10" t="str">
        <f>VLOOKUP($A8,'Institution Evaluation'!$A$56:$K$346,8,0)&amp;""</f>
        <v/>
      </c>
      <c r="I8" s="10" t="str">
        <f>VLOOKUP($A8,'Institution Evaluation'!$A$56:$K$346,9,0)&amp;""</f>
        <v/>
      </c>
      <c r="J8" s="10" t="str">
        <f>VLOOKUP($A8,'Institution Evaluation'!$A$56:$K$346,10,0)&amp;""</f>
        <v/>
      </c>
      <c r="K8" s="10">
        <f t="shared" si="1"/>
        <v>10</v>
      </c>
      <c r="L8" s="114" t="str">
        <f>IF($E8="Not Scored", "N/A",IF(AND($D8='Auto Responses'!$J$27,$H8=""),"N/A",IF(AND($D8='Auto Responses'!$J$27,$H8='Auto Responses'!$J$7),1,IF(AND($D8='Auto Responses'!$J$27,$H8='Auto Responses'!$J$8),0,IF(OR($F8=$G8,$H8='Auto Responses'!$J$7),1,0)))))</f>
        <v>N/A</v>
      </c>
      <c r="M8" s="10" t="str">
        <f>VLOOKUP($A8,'Institution Evaluation'!$A$56:$K$346,10,0)&amp;""</f>
        <v/>
      </c>
      <c r="N8" s="10">
        <f t="shared" si="2"/>
        <v>0</v>
      </c>
      <c r="O8" s="114" t="str">
        <f t="shared" si="3"/>
        <v>N/A</v>
      </c>
      <c r="P8" s="114" t="str">
        <f t="shared" si="4"/>
        <v>N/A</v>
      </c>
      <c r="Q8" s="114">
        <f t="shared" si="5"/>
        <v>0</v>
      </c>
      <c r="R8" s="114">
        <f t="shared" si="9"/>
        <v>0</v>
      </c>
      <c r="S8" s="114">
        <f t="shared" si="6"/>
        <v>0</v>
      </c>
      <c r="T8" s="114">
        <f t="shared" si="7"/>
        <v>0</v>
      </c>
      <c r="U8" s="114">
        <f t="shared" si="10"/>
        <v>0</v>
      </c>
      <c r="V8" s="114">
        <f t="shared" si="8"/>
        <v>0</v>
      </c>
    </row>
    <row r="9" spans="1:22" ht="56" x14ac:dyDescent="0.3">
      <c r="A9" s="10" t="str">
        <f>Questions!$A9</f>
        <v>GNRL-07</v>
      </c>
      <c r="B9" s="10" t="str">
        <f t="shared" si="0"/>
        <v>GNRL</v>
      </c>
      <c r="C9" s="10" t="str">
        <f>VLOOKUP($A9,Questions!$A$3:$L$333,2,0)&amp;""</f>
        <v>Solution Provider Contact Phone Number</v>
      </c>
      <c r="D9" s="10" t="str">
        <f>VLOOKUP($A9,Questions!$A$3:$L$333,11,0)&amp;""</f>
        <v>NA</v>
      </c>
      <c r="E9" s="10" t="str">
        <f>VLOOKUP($A9,Questions!$A$3:$L$333,12,0)&amp;""</f>
        <v>Not Scored</v>
      </c>
      <c r="F9" s="10" t="str">
        <f>VLOOKUP($A9,'Institution Evaluation'!$A$56:$K$346,3,0)&amp;""</f>
        <v>414-331-1476</v>
      </c>
      <c r="G9" s="10" t="str">
        <f>VLOOKUP($A9,'Institution Evaluation'!$A$56:$K$346,7,0)&amp;""</f>
        <v>Not scored</v>
      </c>
      <c r="H9" s="10" t="str">
        <f>VLOOKUP($A9,'Institution Evaluation'!$A$56:$K$346,8,0)&amp;""</f>
        <v/>
      </c>
      <c r="I9" s="10" t="str">
        <f>VLOOKUP($A9,'Institution Evaluation'!$A$56:$K$346,9,0)&amp;""</f>
        <v/>
      </c>
      <c r="J9" s="10" t="str">
        <f>VLOOKUP($A9,'Institution Evaluation'!$A$56:$K$346,10,0)&amp;""</f>
        <v/>
      </c>
      <c r="K9" s="10">
        <f t="shared" si="1"/>
        <v>10</v>
      </c>
      <c r="L9" s="114" t="str">
        <f>IF($E9="Not Scored", "N/A",IF(AND($D9='Auto Responses'!$J$27,$H9=""),"N/A",IF(AND($D9='Auto Responses'!$J$27,$H9='Auto Responses'!$J$7),1,IF(AND($D9='Auto Responses'!$J$27,$H9='Auto Responses'!$J$8),0,IF(OR($F9=$G9,$H9='Auto Responses'!$J$7),1,0)))))</f>
        <v>N/A</v>
      </c>
      <c r="M9" s="10" t="str">
        <f>VLOOKUP($A9,'Institution Evaluation'!$A$56:$K$346,10,0)&amp;""</f>
        <v/>
      </c>
      <c r="N9" s="10">
        <f t="shared" si="2"/>
        <v>0</v>
      </c>
      <c r="O9" s="114" t="str">
        <f t="shared" si="3"/>
        <v>N/A</v>
      </c>
      <c r="P9" s="114" t="str">
        <f t="shared" si="4"/>
        <v>N/A</v>
      </c>
      <c r="Q9" s="114">
        <f t="shared" si="5"/>
        <v>0</v>
      </c>
      <c r="R9" s="114">
        <f t="shared" si="9"/>
        <v>0</v>
      </c>
      <c r="S9" s="114">
        <f t="shared" si="6"/>
        <v>0</v>
      </c>
      <c r="T9" s="114">
        <f t="shared" si="7"/>
        <v>0</v>
      </c>
      <c r="U9" s="114">
        <f t="shared" si="10"/>
        <v>0</v>
      </c>
      <c r="V9" s="114">
        <f t="shared" si="8"/>
        <v>0</v>
      </c>
    </row>
    <row r="10" spans="1:22" ht="56" x14ac:dyDescent="0.3">
      <c r="A10" s="10" t="str">
        <f>Questions!$A10</f>
        <v>GNRL-08</v>
      </c>
      <c r="B10" s="10" t="str">
        <f t="shared" si="0"/>
        <v>GNRL</v>
      </c>
      <c r="C10" s="10" t="str">
        <f>VLOOKUP($A10,Questions!$A$3:$L$333,2,0)&amp;""</f>
        <v>Country of Company Headquarters</v>
      </c>
      <c r="D10" s="10" t="str">
        <f>VLOOKUP($A10,Questions!$A$3:$L$333,11,0)&amp;""</f>
        <v>NA</v>
      </c>
      <c r="E10" s="10" t="str">
        <f>VLOOKUP($A10,Questions!$A$3:$L$333,12,0)&amp;""</f>
        <v>Not Scored</v>
      </c>
      <c r="F10" s="10" t="str">
        <f>VLOOKUP($A10,'Institution Evaluation'!$A$56:$K$346,3,0)&amp;""</f>
        <v>United States</v>
      </c>
      <c r="G10" s="10" t="str">
        <f>VLOOKUP($A10,'Institution Evaluation'!$A$56:$K$346,7,0)&amp;""</f>
        <v>Not scored</v>
      </c>
      <c r="H10" s="10" t="str">
        <f>VLOOKUP($A10,'Institution Evaluation'!$A$56:$K$346,8,0)&amp;""</f>
        <v/>
      </c>
      <c r="I10" s="10" t="str">
        <f>VLOOKUP($A10,'Institution Evaluation'!$A$56:$K$346,9,0)&amp;""</f>
        <v/>
      </c>
      <c r="J10" s="10" t="str">
        <f>VLOOKUP($A10,'Institution Evaluation'!$A$56:$K$346,10,0)&amp;""</f>
        <v/>
      </c>
      <c r="K10" s="10">
        <f t="shared" si="1"/>
        <v>10</v>
      </c>
      <c r="L10" s="114" t="str">
        <f>IF($E10="Not Scored", "N/A",IF(AND($D10='Auto Responses'!$J$27,$H10=""),"N/A",IF(AND($D10='Auto Responses'!$J$27,$H10='Auto Responses'!$J$7),1,IF(AND($D10='Auto Responses'!$J$27,$H10='Auto Responses'!$J$8),0,IF(OR($F10=$G10,$H10='Auto Responses'!$J$7),1,0)))))</f>
        <v>N/A</v>
      </c>
      <c r="M10" s="10" t="str">
        <f>VLOOKUP($A10,'Institution Evaluation'!$A$56:$K$346,10,0)&amp;""</f>
        <v/>
      </c>
      <c r="N10" s="10">
        <f t="shared" si="2"/>
        <v>0</v>
      </c>
      <c r="O10" s="114" t="str">
        <f t="shared" si="3"/>
        <v>N/A</v>
      </c>
      <c r="P10" s="114" t="str">
        <f t="shared" si="4"/>
        <v>N/A</v>
      </c>
      <c r="Q10" s="114">
        <f t="shared" si="5"/>
        <v>0</v>
      </c>
      <c r="R10" s="114">
        <f t="shared" si="9"/>
        <v>0</v>
      </c>
      <c r="S10" s="114">
        <f t="shared" si="6"/>
        <v>0</v>
      </c>
      <c r="T10" s="114">
        <f t="shared" si="7"/>
        <v>0</v>
      </c>
      <c r="U10" s="114">
        <f t="shared" si="10"/>
        <v>0</v>
      </c>
      <c r="V10" s="114">
        <f t="shared" si="8"/>
        <v>0</v>
      </c>
    </row>
    <row r="11" spans="1:22" ht="56" x14ac:dyDescent="0.3">
      <c r="A11" s="10" t="str">
        <f>Questions!$A11</f>
        <v>GNRL-09</v>
      </c>
      <c r="B11" s="10" t="str">
        <f t="shared" si="0"/>
        <v>GNRL</v>
      </c>
      <c r="C11" s="10" t="str">
        <f>VLOOKUP($A11,Questions!$A$3:$L$333,2,0)&amp;""</f>
        <v>Employee Work Locations (all)</v>
      </c>
      <c r="D11" s="10" t="s">
        <v>22</v>
      </c>
      <c r="E11" s="10" t="str">
        <f>VLOOKUP($A11,Questions!$A$3:$L$333,12,0)&amp;""</f>
        <v>Not Scored</v>
      </c>
      <c r="F11" s="10" t="str">
        <f>VLOOKUP($A11,'Institution Evaluation'!$A$56:$K$346,3,0)&amp;""</f>
        <v>United States, Canada, and EU</v>
      </c>
      <c r="G11" s="10" t="str">
        <f>VLOOKUP($A11,'Institution Evaluation'!$A$56:$K$346,7,0)&amp;""</f>
        <v>Not scored</v>
      </c>
      <c r="H11" s="10" t="str">
        <f>VLOOKUP($A11,'Institution Evaluation'!$A$56:$K$346,8,0)&amp;""</f>
        <v/>
      </c>
      <c r="I11" s="10" t="str">
        <f>VLOOKUP($A11,'Institution Evaluation'!$A$56:$K$346,9,0)&amp;""</f>
        <v/>
      </c>
      <c r="J11" s="10" t="str">
        <f>VLOOKUP($A11,'Institution Evaluation'!$A$56:$K$346,10,0)&amp;""</f>
        <v/>
      </c>
      <c r="K11" s="10">
        <f t="shared" si="1"/>
        <v>10</v>
      </c>
      <c r="L11" s="114" t="str">
        <f>IF($E11="Not Scored", "N/A",IF(AND($D11='Auto Responses'!$J$27,$H11=""),"N/A",IF(AND($D11='Auto Responses'!$J$27,$H11='Auto Responses'!$J$7),1,IF(AND($D11='Auto Responses'!$J$27,$H11='Auto Responses'!$J$8),0,IF(OR($F11=$G11,$H11='Auto Responses'!$J$7),1,0)))))</f>
        <v>N/A</v>
      </c>
      <c r="M11" s="10" t="str">
        <f>VLOOKUP($A11,'Institution Evaluation'!$A$56:$K$346,10,0)&amp;""</f>
        <v/>
      </c>
      <c r="N11" s="10">
        <f t="shared" si="2"/>
        <v>0</v>
      </c>
      <c r="O11" s="114" t="str">
        <f t="shared" si="3"/>
        <v>N/A</v>
      </c>
      <c r="P11" s="114" t="str">
        <f t="shared" si="4"/>
        <v>N/A</v>
      </c>
      <c r="Q11" s="114">
        <f t="shared" si="5"/>
        <v>0</v>
      </c>
      <c r="R11" s="114">
        <f t="shared" si="9"/>
        <v>0</v>
      </c>
      <c r="S11" s="114">
        <f t="shared" si="6"/>
        <v>0</v>
      </c>
      <c r="T11" s="114">
        <f t="shared" si="7"/>
        <v>0</v>
      </c>
      <c r="U11" s="114">
        <f t="shared" si="10"/>
        <v>0</v>
      </c>
      <c r="V11" s="114">
        <f t="shared" si="8"/>
        <v>0</v>
      </c>
    </row>
    <row r="12" spans="1:22" ht="56" x14ac:dyDescent="0.3">
      <c r="A12" s="10" t="str">
        <f>Questions!$A12</f>
        <v>COMP-01</v>
      </c>
      <c r="B12" s="10" t="str">
        <f t="shared" si="0"/>
        <v>COMP</v>
      </c>
      <c r="C12" s="10" t="str">
        <f>VLOOKUP($A12,Questions!$A$3:$L$333,2,0)&amp;""</f>
        <v>Do you have a dedicated software and system development team(s) (e.g., customer support, implementation, product management, etc.)?*</v>
      </c>
      <c r="D12" s="10" t="str">
        <f>VLOOKUP($A12,Questions!$A$3:$L$333,11,0)&amp;""</f>
        <v/>
      </c>
      <c r="E12" s="10" t="str">
        <f>VLOOKUP($A12,Questions!$A$3:$L$333,12,0)&amp;""</f>
        <v>Start Here</v>
      </c>
      <c r="F12" s="10" t="str">
        <f>VLOOKUP($A12,'Institution Evaluation'!$A$56:$K$346,3,0)&amp;""</f>
        <v>Yes</v>
      </c>
      <c r="G12" s="10" t="str">
        <f>VLOOKUP($A12,'Institution Evaluation'!$A$56:$K$346,7,0)&amp;""</f>
        <v>Yes</v>
      </c>
      <c r="H12" s="10" t="str">
        <f>VLOOKUP($A12,'Institution Evaluation'!$A$56:$K$346,8,0)&amp;""</f>
        <v/>
      </c>
      <c r="I12" s="10" t="str">
        <f>VLOOKUP($A12,'Institution Evaluation'!$A$56:$K$346,9,0)&amp;""</f>
        <v>Critical Importance</v>
      </c>
      <c r="J12" s="10" t="str">
        <f>VLOOKUP($A12,'Institution Evaluation'!$A$56:$K$346,10,0)&amp;""</f>
        <v/>
      </c>
      <c r="K12" s="10">
        <f t="shared" si="1"/>
        <v>20</v>
      </c>
      <c r="L12" s="114">
        <f>IF($E12="Not Scored", "N/A",IF(AND($D12='Auto Responses'!$J$27,$H12=""),"N/A",IF(AND($D12='Auto Responses'!$J$27,$H12='Auto Responses'!$J$7),1,IF(AND($D12='Auto Responses'!$J$27,$H12='Auto Responses'!$J$8),0,IF(OR($F12=$G12,$H12='Auto Responses'!$J$7),1,0)))))</f>
        <v>1</v>
      </c>
      <c r="M12" s="10" t="str">
        <f>VLOOKUP($A12,'Institution Evaluation'!$A$56:$K$346,10,0)&amp;""</f>
        <v/>
      </c>
      <c r="N12" s="10">
        <f t="shared" si="2"/>
        <v>1</v>
      </c>
      <c r="O12" s="114">
        <f t="shared" si="3"/>
        <v>20</v>
      </c>
      <c r="P12" s="114">
        <f t="shared" si="4"/>
        <v>20</v>
      </c>
      <c r="Q12" s="114">
        <f t="shared" si="5"/>
        <v>0</v>
      </c>
      <c r="R12" s="114">
        <f t="shared" si="9"/>
        <v>0</v>
      </c>
      <c r="S12" s="114">
        <f t="shared" si="6"/>
        <v>0</v>
      </c>
      <c r="T12" s="114">
        <f t="shared" si="7"/>
        <v>1</v>
      </c>
      <c r="U12" s="114">
        <f t="shared" si="10"/>
        <v>1</v>
      </c>
      <c r="V12" s="114">
        <f t="shared" si="8"/>
        <v>1</v>
      </c>
    </row>
    <row r="13" spans="1:22" ht="378" x14ac:dyDescent="0.3">
      <c r="A13" s="10" t="str">
        <f>Questions!$A13</f>
        <v>COMP-02</v>
      </c>
      <c r="B13" s="10" t="str">
        <f t="shared" si="0"/>
        <v>COMP</v>
      </c>
      <c r="C13" s="10" t="str">
        <f>VLOOKUP($A13,Questions!$A$3:$L$333,2,0)&amp;""</f>
        <v>Describe your organization’s business background and ownership structure, including all parent and subsidiary relationships.</v>
      </c>
      <c r="D13" s="10" t="str">
        <f>VLOOKUP($A13,Questions!$A$3:$L$333,11,0)&amp;""</f>
        <v/>
      </c>
      <c r="E13" s="10" t="str">
        <f>VLOOKUP($A13,Questions!$A$3:$L$333,12,0)&amp;""</f>
        <v>Not scored</v>
      </c>
      <c r="F13" s="10" t="str">
        <f>VLOOKUP($A13,'Institution Evaluation'!$A$56:$K$346,3,0)&amp;""</f>
        <v>Cirrus Identity was founded in January 2013 as a Delaware C Corporation. Cirrus Identity is privately held, with the majority of shareholders being employees of the company. Cirrus Identity's prior investors include Merian Ventures, 500 Startups, and Golden Seeds, who together own approximately 7% of the company. Cirrus Identity does not own any subsidiary companies, nor is it owned by any parent organizations.</v>
      </c>
      <c r="G13" s="10" t="str">
        <f>VLOOKUP($A13,'Institution Evaluation'!$A$56:$K$346,7,0)&amp;""</f>
        <v>Not scored</v>
      </c>
      <c r="H13" s="10" t="str">
        <f>VLOOKUP($A13,'Institution Evaluation'!$A$56:$K$346,8,0)&amp;""</f>
        <v/>
      </c>
      <c r="I13" s="10" t="str">
        <f>VLOOKUP($A13,'Institution Evaluation'!$A$56:$K$346,9,0)&amp;""</f>
        <v>Minor Importance</v>
      </c>
      <c r="J13" s="10" t="str">
        <f>VLOOKUP($A13,'Institution Evaluation'!$A$56:$K$346,10,0)&amp;""</f>
        <v/>
      </c>
      <c r="K13" s="10">
        <f t="shared" si="1"/>
        <v>5</v>
      </c>
      <c r="L13" s="114" t="str">
        <f>IF($E13="Not Scored", "N/A",IF(AND($D13='Auto Responses'!$J$27,$H13=""),"N/A",IF(AND($D13='Auto Responses'!$J$27,$H13='Auto Responses'!$J$7),1,IF(AND($D13='Auto Responses'!$J$27,$H13='Auto Responses'!$J$8),0,IF(OR($F13=$G13,$H13='Auto Responses'!$J$7),1,0)))))</f>
        <v>N/A</v>
      </c>
      <c r="M13" s="10" t="str">
        <f>VLOOKUP($A13,'Institution Evaluation'!$A$56:$K$346,10,0)&amp;""</f>
        <v/>
      </c>
      <c r="N13" s="10">
        <f t="shared" si="2"/>
        <v>0</v>
      </c>
      <c r="O13" s="114" t="str">
        <f t="shared" si="3"/>
        <v>N/A</v>
      </c>
      <c r="P13" s="114" t="str">
        <f t="shared" si="4"/>
        <v>N/A</v>
      </c>
      <c r="Q13" s="114">
        <f t="shared" si="5"/>
        <v>0</v>
      </c>
      <c r="R13" s="114">
        <f t="shared" si="9"/>
        <v>0</v>
      </c>
      <c r="S13" s="114">
        <f t="shared" si="6"/>
        <v>0</v>
      </c>
      <c r="T13" s="114">
        <f t="shared" si="7"/>
        <v>0</v>
      </c>
      <c r="U13" s="114">
        <f t="shared" si="10"/>
        <v>1</v>
      </c>
      <c r="V13" s="114">
        <f t="shared" si="8"/>
        <v>0</v>
      </c>
    </row>
    <row r="14" spans="1:22" ht="56" x14ac:dyDescent="0.3">
      <c r="A14" s="10" t="str">
        <f>Questions!$A14</f>
        <v>COMP-03</v>
      </c>
      <c r="B14" s="10" t="str">
        <f t="shared" si="0"/>
        <v>COMP</v>
      </c>
      <c r="C14" s="10" t="str">
        <f>VLOOKUP($A14,Questions!$A$3:$L$333,2,0)&amp;""</f>
        <v>Have you operated without unplanned disruptions to this solution in the past 12 months?</v>
      </c>
      <c r="D14" s="10" t="str">
        <f>VLOOKUP($A14,Questions!$A$3:$L$333,11,0)&amp;""</f>
        <v/>
      </c>
      <c r="E14" s="10" t="str">
        <f>VLOOKUP($A14,Questions!$A$3:$L$333,12,0)&amp;""</f>
        <v>Start Here</v>
      </c>
      <c r="F14" s="10" t="str">
        <f>VLOOKUP($A14,'Institution Evaluation'!$A$56:$K$346,3,0)&amp;""</f>
        <v>No</v>
      </c>
      <c r="G14" s="10" t="str">
        <f>VLOOKUP($A14,'Institution Evaluation'!$A$56:$K$346,7,0)&amp;""</f>
        <v>Yes</v>
      </c>
      <c r="H14" s="10" t="str">
        <f>VLOOKUP($A14,'Institution Evaluation'!$A$56:$K$346,8,0)&amp;""</f>
        <v/>
      </c>
      <c r="I14" s="10" t="str">
        <f>VLOOKUP($A14,'Institution Evaluation'!$A$56:$K$346,9,0)&amp;""</f>
        <v>Minor Importance</v>
      </c>
      <c r="J14" s="10" t="str">
        <f>VLOOKUP($A14,'Institution Evaluation'!$A$56:$K$346,10,0)&amp;""</f>
        <v/>
      </c>
      <c r="K14" s="10">
        <f t="shared" si="1"/>
        <v>5</v>
      </c>
      <c r="L14" s="114">
        <f>IF($E14="Not Scored", "N/A",IF(AND($D14='Auto Responses'!$J$27,$H14=""),"N/A",IF(AND($D14='Auto Responses'!$J$27,$H14='Auto Responses'!$J$7),1,IF(AND($D14='Auto Responses'!$J$27,$H14='Auto Responses'!$J$8),0,IF(OR($F14=$G14,$H14='Auto Responses'!$J$7),1,0)))))</f>
        <v>0</v>
      </c>
      <c r="M14" s="10" t="str">
        <f>VLOOKUP($A14,'Institution Evaluation'!$A$56:$K$346,10,0)&amp;""</f>
        <v/>
      </c>
      <c r="N14" s="10">
        <f t="shared" si="2"/>
        <v>0</v>
      </c>
      <c r="O14" s="114">
        <f t="shared" si="3"/>
        <v>5</v>
      </c>
      <c r="P14" s="114">
        <f t="shared" si="4"/>
        <v>0</v>
      </c>
      <c r="Q14" s="114">
        <f t="shared" si="5"/>
        <v>0</v>
      </c>
      <c r="R14" s="114">
        <f t="shared" si="9"/>
        <v>0</v>
      </c>
      <c r="S14" s="114">
        <f t="shared" si="6"/>
        <v>0</v>
      </c>
      <c r="T14" s="114">
        <f t="shared" si="7"/>
        <v>0</v>
      </c>
      <c r="U14" s="114">
        <f t="shared" si="10"/>
        <v>1</v>
      </c>
      <c r="V14" s="114">
        <f t="shared" si="8"/>
        <v>0</v>
      </c>
    </row>
    <row r="15" spans="1:22" ht="56" x14ac:dyDescent="0.3">
      <c r="A15" s="10" t="str">
        <f>Questions!$A15</f>
        <v>COMP-04</v>
      </c>
      <c r="B15" s="10" t="str">
        <f t="shared" si="0"/>
        <v>COMP</v>
      </c>
      <c r="C15" s="10" t="str">
        <f>VLOOKUP($A15,Questions!$A$3:$L$333,2,0)&amp;""</f>
        <v>Do you have a dedicated information security staff or office?</v>
      </c>
      <c r="D15" s="10" t="str">
        <f>VLOOKUP($A15,Questions!$A$3:$L$333,11,0)&amp;""</f>
        <v/>
      </c>
      <c r="E15" s="10" t="str">
        <f>VLOOKUP($A15,Questions!$A$3:$L$333,12,0)&amp;""</f>
        <v>Start Here</v>
      </c>
      <c r="F15" s="10" t="str">
        <f>VLOOKUP($A15,'Institution Evaluation'!$A$56:$K$346,3,0)&amp;""</f>
        <v>Yes</v>
      </c>
      <c r="G15" s="10" t="str">
        <f>VLOOKUP($A15,'Institution Evaluation'!$A$56:$K$346,7,0)&amp;""</f>
        <v>Yes</v>
      </c>
      <c r="H15" s="10" t="str">
        <f>VLOOKUP($A15,'Institution Evaluation'!$A$56:$K$346,8,0)&amp;""</f>
        <v/>
      </c>
      <c r="I15" s="10" t="str">
        <f>VLOOKUP($A15,'Institution Evaluation'!$A$56:$K$346,9,0)&amp;""</f>
        <v>Minor Importance</v>
      </c>
      <c r="J15" s="10" t="str">
        <f>VLOOKUP($A15,'Institution Evaluation'!$A$56:$K$346,10,0)&amp;""</f>
        <v/>
      </c>
      <c r="K15" s="10">
        <f t="shared" si="1"/>
        <v>5</v>
      </c>
      <c r="L15" s="114">
        <f>IF($E15="Not Scored", "N/A",IF(AND($D15='Auto Responses'!$J$27,$H15=""),"N/A",IF(AND($D15='Auto Responses'!$J$27,$H15='Auto Responses'!$J$7),1,IF(AND($D15='Auto Responses'!$J$27,$H15='Auto Responses'!$J$8),0,IF(OR($F15=$G15,$H15='Auto Responses'!$J$7),1,0)))))</f>
        <v>1</v>
      </c>
      <c r="M15" s="10" t="str">
        <f>VLOOKUP($A15,'Institution Evaluation'!$A$56:$K$346,10,0)&amp;""</f>
        <v/>
      </c>
      <c r="N15" s="10">
        <f t="shared" si="2"/>
        <v>0</v>
      </c>
      <c r="O15" s="114">
        <f t="shared" si="3"/>
        <v>5</v>
      </c>
      <c r="P15" s="114">
        <f t="shared" si="4"/>
        <v>5</v>
      </c>
      <c r="Q15" s="114">
        <f t="shared" si="5"/>
        <v>0</v>
      </c>
      <c r="R15" s="114">
        <f t="shared" si="9"/>
        <v>0</v>
      </c>
      <c r="S15" s="114">
        <f t="shared" si="6"/>
        <v>0</v>
      </c>
      <c r="T15" s="114">
        <f t="shared" si="7"/>
        <v>0</v>
      </c>
      <c r="U15" s="114">
        <f t="shared" si="10"/>
        <v>1</v>
      </c>
      <c r="V15" s="114">
        <f t="shared" si="8"/>
        <v>0</v>
      </c>
    </row>
    <row r="16" spans="1:22" ht="409.5" x14ac:dyDescent="0.3">
      <c r="A16" s="10" t="str">
        <f>Questions!$A16</f>
        <v>COMP-05</v>
      </c>
      <c r="B16" s="10" t="str">
        <f t="shared" si="0"/>
        <v>COMP</v>
      </c>
      <c r="C16" s="10" t="str">
        <f>VLOOKUP($A16,Questions!$A$3:$L$333,2,0)&amp;""</f>
        <v>Use this area to share information about your environment that will assist those who are assessing your company's data security program.</v>
      </c>
      <c r="D16" s="10" t="str">
        <f>VLOOKUP($A16,Questions!$A$3:$L$333,11,0)&amp;""</f>
        <v/>
      </c>
      <c r="E16" s="10" t="str">
        <f>VLOOKUP($A16,Questions!$A$3:$L$333,12,0)&amp;""</f>
        <v>Not Scored</v>
      </c>
      <c r="F16" s="10" t="str">
        <f>VLOOKUP($A16,'Institution Evaluation'!$A$56:$K$346,3,0)&amp;""</f>
        <v xml:space="preserve">Cirrus Identity runs its infrastructure on Amazon Web Services (AWS). Cirrus production workloads are operating in an AWS Virtual Private Cloud (VPC) and load balanced using Amazon Elastic Kubernetes Service (EKS) spread across multiple availability zones in the US East (Northern Virginia) Region. Cirrus Identity currently deploys its systems according to commercially reasonable and Amazon recommended practices. Cirrus Identity services are developed following commercially reasonable and OWASP recommended practices . </v>
      </c>
      <c r="G16" s="10" t="str">
        <f>VLOOKUP($A16,'Institution Evaluation'!$A$56:$K$346,7,0)&amp;""</f>
        <v>Not scored</v>
      </c>
      <c r="H16" s="10" t="str">
        <f>VLOOKUP($A16,'Institution Evaluation'!$A$56:$K$346,8,0)&amp;""</f>
        <v/>
      </c>
      <c r="I16" s="10" t="str">
        <f>VLOOKUP($A16,'Institution Evaluation'!$A$56:$K$346,9,0)&amp;""</f>
        <v>Minor Importance</v>
      </c>
      <c r="J16" s="10" t="str">
        <f>VLOOKUP($A16,'Institution Evaluation'!$A$56:$K$346,10,0)&amp;""</f>
        <v/>
      </c>
      <c r="K16" s="10">
        <f t="shared" si="1"/>
        <v>5</v>
      </c>
      <c r="L16" s="114" t="str">
        <f>IF($E16="Not Scored", "N/A",IF(AND($D16='Auto Responses'!$J$27,$H16=""),"N/A",IF(AND($D16='Auto Responses'!$J$27,$H16='Auto Responses'!$J$7),1,IF(AND($D16='Auto Responses'!$J$27,$H16='Auto Responses'!$J$8),0,IF(OR($F16=$G16,$H16='Auto Responses'!$J$7),1,0)))))</f>
        <v>N/A</v>
      </c>
      <c r="M16" s="10" t="str">
        <f>VLOOKUP($A16,'Institution Evaluation'!$A$56:$K$346,10,0)&amp;""</f>
        <v/>
      </c>
      <c r="N16" s="10">
        <f t="shared" si="2"/>
        <v>0</v>
      </c>
      <c r="O16" s="114" t="str">
        <f t="shared" si="3"/>
        <v>N/A</v>
      </c>
      <c r="P16" s="114" t="str">
        <f t="shared" si="4"/>
        <v>N/A</v>
      </c>
      <c r="Q16" s="114">
        <f t="shared" si="5"/>
        <v>0</v>
      </c>
      <c r="R16" s="114">
        <f t="shared" si="9"/>
        <v>0</v>
      </c>
      <c r="S16" s="114">
        <f t="shared" si="6"/>
        <v>0</v>
      </c>
      <c r="T16" s="114">
        <f t="shared" si="7"/>
        <v>0</v>
      </c>
      <c r="U16" s="114">
        <f t="shared" si="10"/>
        <v>1</v>
      </c>
      <c r="V16" s="114">
        <f t="shared" si="8"/>
        <v>0</v>
      </c>
    </row>
    <row r="17" spans="1:22" ht="56" x14ac:dyDescent="0.3">
      <c r="A17" s="10" t="str">
        <f>Questions!$A17</f>
        <v>REQU-01</v>
      </c>
      <c r="B17" s="10" t="str">
        <f t="shared" si="0"/>
        <v>REQU</v>
      </c>
      <c r="C17" s="10" t="str">
        <f>VLOOKUP($A17,Questions!$A$3:$L$333,2,0)&amp;""</f>
        <v>Are you offering either a product or platform, as opposed to only offering a service</v>
      </c>
      <c r="D17" s="10" t="str">
        <f>VLOOKUP($A17,Questions!$A$3:$L$333,11,0)&amp;""</f>
        <v>NA</v>
      </c>
      <c r="E17" s="10" t="str">
        <f>VLOOKUP($A17,Questions!$A$3:$L$333,12,0)&amp;""</f>
        <v>Not Scored</v>
      </c>
      <c r="F17" s="10" t="str">
        <f>VLOOKUP($A17,'Institution Evaluation'!$A$56:$K$346,3,0)&amp;""</f>
        <v>Yes</v>
      </c>
      <c r="G17" s="10" t="str">
        <f>VLOOKUP($A17,'Institution Evaluation'!$A$56:$K$346,7,0)&amp;""</f>
        <v>Not scored</v>
      </c>
      <c r="H17" s="10" t="str">
        <f>VLOOKUP($A17,'Institution Evaluation'!$A$56:$K$346,8,0)&amp;""</f>
        <v/>
      </c>
      <c r="I17" s="10" t="str">
        <f>VLOOKUP($A17,'Institution Evaluation'!$A$56:$K$346,9,0)&amp;""</f>
        <v/>
      </c>
      <c r="J17" s="10" t="str">
        <f>VLOOKUP($A17,'Institution Evaluation'!$A$56:$K$346,10,0)&amp;""</f>
        <v/>
      </c>
      <c r="K17" s="10">
        <f t="shared" si="1"/>
        <v>10</v>
      </c>
      <c r="L17" s="114" t="str">
        <f>IF($E17="Not Scored", "N/A",IF(AND($D17='Auto Responses'!$J$27,$H17=""),"N/A",IF(AND($D17='Auto Responses'!$J$27,$H17='Auto Responses'!$J$7),1,IF(AND($D17='Auto Responses'!$J$27,$H17='Auto Responses'!$J$8),0,IF(OR($F17=$G17,$H17='Auto Responses'!$J$7),1,0)))))</f>
        <v>N/A</v>
      </c>
      <c r="M17" s="10" t="str">
        <f>VLOOKUP($A17,'Institution Evaluation'!$A$56:$K$346,10,0)&amp;""</f>
        <v/>
      </c>
      <c r="N17" s="10">
        <f t="shared" si="2"/>
        <v>0</v>
      </c>
      <c r="O17" s="114" t="str">
        <f t="shared" si="3"/>
        <v>N/A</v>
      </c>
      <c r="P17" s="114" t="str">
        <f t="shared" si="4"/>
        <v>N/A</v>
      </c>
      <c r="Q17" s="114">
        <f t="shared" si="5"/>
        <v>0</v>
      </c>
      <c r="R17" s="114">
        <f t="shared" si="9"/>
        <v>0</v>
      </c>
      <c r="S17" s="114">
        <f t="shared" si="6"/>
        <v>0</v>
      </c>
      <c r="T17" s="114">
        <f t="shared" si="7"/>
        <v>0</v>
      </c>
      <c r="U17" s="114">
        <f t="shared" si="10"/>
        <v>1</v>
      </c>
      <c r="V17" s="114">
        <f t="shared" si="8"/>
        <v>0</v>
      </c>
    </row>
    <row r="18" spans="1:22" ht="56" x14ac:dyDescent="0.3">
      <c r="A18" s="10" t="str">
        <f>Questions!$A18</f>
        <v>REQU-02</v>
      </c>
      <c r="B18" s="10" t="str">
        <f t="shared" si="0"/>
        <v>REQU</v>
      </c>
      <c r="C18" s="10" t="str">
        <f>VLOOKUP($A18,Questions!$A$3:$L$333,2,0)&amp;""</f>
        <v>Does your product or service have an interface?</v>
      </c>
      <c r="D18" s="10" t="str">
        <f>VLOOKUP($A18,Questions!$A$3:$L$333,11,0)&amp;""</f>
        <v>NA</v>
      </c>
      <c r="E18" s="10" t="str">
        <f>VLOOKUP($A18,Questions!$A$3:$L$333,12,0)&amp;""</f>
        <v>Not Scored</v>
      </c>
      <c r="F18" s="10" t="str">
        <f>VLOOKUP($A18,'Institution Evaluation'!$A$56:$K$346,3,0)&amp;""</f>
        <v>Yes</v>
      </c>
      <c r="G18" s="10" t="str">
        <f>VLOOKUP($A18,'Institution Evaluation'!$A$56:$K$346,7,0)&amp;""</f>
        <v>Not scored</v>
      </c>
      <c r="H18" s="10" t="str">
        <f>VLOOKUP($A18,'Institution Evaluation'!$A$56:$K$346,8,0)&amp;""</f>
        <v/>
      </c>
      <c r="I18" s="10" t="str">
        <f>VLOOKUP($A18,'Institution Evaluation'!$A$56:$K$346,9,0)&amp;""</f>
        <v/>
      </c>
      <c r="J18" s="10" t="str">
        <f>VLOOKUP($A18,'Institution Evaluation'!$A$56:$K$346,10,0)&amp;""</f>
        <v/>
      </c>
      <c r="K18" s="10">
        <f t="shared" si="1"/>
        <v>10</v>
      </c>
      <c r="L18" s="114" t="str">
        <f>IF($E18="Not Scored", "N/A",IF(AND($D18='Auto Responses'!$J$27,$H18=""),"N/A",IF(AND($D18='Auto Responses'!$J$27,$H18='Auto Responses'!$J$7),1,IF(AND($D18='Auto Responses'!$J$27,$H18='Auto Responses'!$J$8),0,IF(OR($F18=$G18,$H18='Auto Responses'!$J$7),1,0)))))</f>
        <v>N/A</v>
      </c>
      <c r="M18" s="10" t="str">
        <f>VLOOKUP($A18,'Institution Evaluation'!$A$56:$K$346,10,0)&amp;""</f>
        <v/>
      </c>
      <c r="N18" s="10">
        <f t="shared" si="2"/>
        <v>0</v>
      </c>
      <c r="O18" s="114" t="str">
        <f t="shared" si="3"/>
        <v>N/A</v>
      </c>
      <c r="P18" s="114" t="str">
        <f t="shared" si="4"/>
        <v>N/A</v>
      </c>
      <c r="Q18" s="114">
        <f t="shared" si="5"/>
        <v>0</v>
      </c>
      <c r="R18" s="114">
        <f t="shared" si="9"/>
        <v>0</v>
      </c>
      <c r="S18" s="114">
        <f t="shared" si="6"/>
        <v>0</v>
      </c>
      <c r="T18" s="114">
        <f t="shared" si="7"/>
        <v>0</v>
      </c>
      <c r="U18" s="114">
        <f t="shared" si="10"/>
        <v>1</v>
      </c>
      <c r="V18" s="114">
        <f t="shared" si="8"/>
        <v>0</v>
      </c>
    </row>
    <row r="19" spans="1:22" ht="56" x14ac:dyDescent="0.3">
      <c r="A19" s="10" t="str">
        <f>Questions!$A19</f>
        <v>REQU-03</v>
      </c>
      <c r="B19" s="10" t="str">
        <f t="shared" si="0"/>
        <v>REQU</v>
      </c>
      <c r="C19" s="10" t="str">
        <f>VLOOKUP($A19,Questions!$A$3:$L$333,2,0)&amp;""</f>
        <v>Are you providing consulting services?</v>
      </c>
      <c r="D19" s="10" t="str">
        <f>VLOOKUP($A19,Questions!$A$3:$L$333,11,0)&amp;""</f>
        <v>NA</v>
      </c>
      <c r="E19" s="10" t="str">
        <f>VLOOKUP($A19,Questions!$A$3:$L$333,12,0)&amp;""</f>
        <v>Not Scored</v>
      </c>
      <c r="F19" s="10" t="str">
        <f>VLOOKUP($A19,'Institution Evaluation'!$A$56:$K$346,3,0)&amp;""</f>
        <v>No</v>
      </c>
      <c r="G19" s="10" t="str">
        <f>VLOOKUP($A19,'Institution Evaluation'!$A$56:$K$346,7,0)&amp;""</f>
        <v>Not scored</v>
      </c>
      <c r="H19" s="10" t="str">
        <f>VLOOKUP($A19,'Institution Evaluation'!$A$56:$K$346,8,0)&amp;""</f>
        <v/>
      </c>
      <c r="I19" s="10" t="str">
        <f>VLOOKUP($A19,'Institution Evaluation'!$A$56:$K$346,9,0)&amp;""</f>
        <v/>
      </c>
      <c r="J19" s="10" t="str">
        <f>VLOOKUP($A19,'Institution Evaluation'!$A$56:$K$346,10,0)&amp;""</f>
        <v/>
      </c>
      <c r="K19" s="10">
        <f t="shared" si="1"/>
        <v>10</v>
      </c>
      <c r="L19" s="114" t="str">
        <f>IF($E19="Not Scored", "N/A",IF(AND($D19='Auto Responses'!$J$27,$H19=""),"N/A",IF(AND($D19='Auto Responses'!$J$27,$H19='Auto Responses'!$J$7),1,IF(AND($D19='Auto Responses'!$J$27,$H19='Auto Responses'!$J$8),0,IF(OR($F19=$G19,$H19='Auto Responses'!$J$7),1,0)))))</f>
        <v>N/A</v>
      </c>
      <c r="M19" s="10" t="str">
        <f>VLOOKUP($A19,'Institution Evaluation'!$A$56:$K$346,10,0)&amp;""</f>
        <v/>
      </c>
      <c r="N19" s="10">
        <f t="shared" si="2"/>
        <v>0</v>
      </c>
      <c r="O19" s="114" t="str">
        <f t="shared" si="3"/>
        <v>N/A</v>
      </c>
      <c r="P19" s="114" t="str">
        <f t="shared" si="4"/>
        <v>N/A</v>
      </c>
      <c r="Q19" s="114">
        <f t="shared" si="5"/>
        <v>0</v>
      </c>
      <c r="R19" s="114">
        <f t="shared" si="9"/>
        <v>0</v>
      </c>
      <c r="S19" s="114">
        <f t="shared" si="6"/>
        <v>0</v>
      </c>
      <c r="T19" s="114">
        <f t="shared" si="7"/>
        <v>0</v>
      </c>
      <c r="U19" s="114">
        <f t="shared" si="10"/>
        <v>1</v>
      </c>
      <c r="V19" s="114">
        <f t="shared" si="8"/>
        <v>0</v>
      </c>
    </row>
    <row r="20" spans="1:22" ht="56" x14ac:dyDescent="0.3">
      <c r="A20" s="10" t="str">
        <f>Questions!$A20</f>
        <v>REQU-04</v>
      </c>
      <c r="B20" s="10" t="str">
        <f t="shared" si="0"/>
        <v>REQU</v>
      </c>
      <c r="C20" s="10" t="str">
        <f>VLOOKUP($A20,Questions!$A$3:$L$333,2,0)&amp;""</f>
        <v>Does your solution have AI features, or are there plans to implement AI features in the next 12 months?</v>
      </c>
      <c r="D20" s="10" t="str">
        <f>VLOOKUP($A20,Questions!$A$3:$L$333,11,0)&amp;""</f>
        <v>NA</v>
      </c>
      <c r="E20" s="10" t="str">
        <f>VLOOKUP($A20,Questions!$A$3:$L$333,12,0)&amp;""</f>
        <v>Not Scored</v>
      </c>
      <c r="F20" s="10" t="str">
        <f>VLOOKUP($A20,'Institution Evaluation'!$A$56:$K$346,3,0)&amp;""</f>
        <v>No</v>
      </c>
      <c r="G20" s="10" t="str">
        <f>VLOOKUP($A20,'Institution Evaluation'!$A$56:$K$346,7,0)&amp;""</f>
        <v>Not scored</v>
      </c>
      <c r="H20" s="10" t="str">
        <f>VLOOKUP($A20,'Institution Evaluation'!$A$56:$K$346,8,0)&amp;""</f>
        <v/>
      </c>
      <c r="I20" s="10" t="str">
        <f>VLOOKUP($A20,'Institution Evaluation'!$A$56:$K$346,9,0)&amp;""</f>
        <v/>
      </c>
      <c r="J20" s="10" t="str">
        <f>VLOOKUP($A20,'Institution Evaluation'!$A$56:$K$346,10,0)&amp;""</f>
        <v/>
      </c>
      <c r="K20" s="10">
        <f t="shared" si="1"/>
        <v>10</v>
      </c>
      <c r="L20" s="114" t="str">
        <f>IF($E20="Not Scored", "N/A",IF(AND($D20='Auto Responses'!$J$27,$H20=""),"N/A",IF(AND($D20='Auto Responses'!$J$27,$H20='Auto Responses'!$J$7),1,IF(AND($D20='Auto Responses'!$J$27,$H20='Auto Responses'!$J$8),0,IF(OR($F20=$G20,$H20='Auto Responses'!$J$7),1,0)))))</f>
        <v>N/A</v>
      </c>
      <c r="M20" s="10" t="str">
        <f>VLOOKUP($A20,'Institution Evaluation'!$A$56:$K$346,10,0)&amp;""</f>
        <v/>
      </c>
      <c r="N20" s="10">
        <f t="shared" si="2"/>
        <v>0</v>
      </c>
      <c r="O20" s="114" t="str">
        <f t="shared" si="3"/>
        <v>N/A</v>
      </c>
      <c r="P20" s="114" t="str">
        <f t="shared" si="4"/>
        <v>N/A</v>
      </c>
      <c r="Q20" s="114">
        <f t="shared" si="5"/>
        <v>0</v>
      </c>
      <c r="R20" s="114">
        <f t="shared" si="9"/>
        <v>0</v>
      </c>
      <c r="S20" s="114">
        <f t="shared" si="6"/>
        <v>0</v>
      </c>
      <c r="T20" s="114">
        <f t="shared" si="7"/>
        <v>0</v>
      </c>
      <c r="U20" s="114">
        <f t="shared" si="10"/>
        <v>1</v>
      </c>
      <c r="V20" s="114">
        <f t="shared" si="8"/>
        <v>0</v>
      </c>
    </row>
    <row r="21" spans="1:22" ht="56" x14ac:dyDescent="0.3">
      <c r="A21" s="10" t="str">
        <f>Questions!$A21</f>
        <v>REQU-05</v>
      </c>
      <c r="B21" s="10" t="str">
        <f t="shared" si="0"/>
        <v>REQU</v>
      </c>
      <c r="C21" s="10" t="str">
        <f>VLOOKUP($A21,Questions!$A$3:$L$333,2,0)&amp;""</f>
        <v>Does your solution process protected health information (PHI) or any data covered by the Health Insurance Portability and Accountability Act (HIPAA)?</v>
      </c>
      <c r="D21" s="10" t="str">
        <f>VLOOKUP($A21,Questions!$A$3:$L$333,11,0)&amp;""</f>
        <v>NA</v>
      </c>
      <c r="E21" s="10" t="str">
        <f>VLOOKUP($A21,Questions!$A$3:$L$333,12,0)&amp;""</f>
        <v>Not Scored</v>
      </c>
      <c r="F21" s="10" t="str">
        <f>VLOOKUP($A21,'Institution Evaluation'!$A$56:$K$346,3,0)&amp;""</f>
        <v>No</v>
      </c>
      <c r="G21" s="10" t="str">
        <f>VLOOKUP($A21,'Institution Evaluation'!$A$56:$K$346,7,0)&amp;""</f>
        <v>Not scored</v>
      </c>
      <c r="H21" s="10" t="str">
        <f>VLOOKUP($A21,'Institution Evaluation'!$A$56:$K$346,8,0)&amp;""</f>
        <v/>
      </c>
      <c r="I21" s="10" t="str">
        <f>VLOOKUP($A21,'Institution Evaluation'!$A$56:$K$346,9,0)&amp;""</f>
        <v/>
      </c>
      <c r="J21" s="10" t="str">
        <f>VLOOKUP($A21,'Institution Evaluation'!$A$56:$K$346,10,0)&amp;""</f>
        <v/>
      </c>
      <c r="K21" s="10">
        <f t="shared" si="1"/>
        <v>10</v>
      </c>
      <c r="L21" s="114" t="str">
        <f>IF($E21="Not Scored", "N/A",IF(AND($D21='Auto Responses'!$J$27,$H21=""),"N/A",IF(AND($D21='Auto Responses'!$J$27,$H21='Auto Responses'!$J$7),1,IF(AND($D21='Auto Responses'!$J$27,$H21='Auto Responses'!$J$8),0,IF(OR($F21=$G21,$H21='Auto Responses'!$J$7),1,0)))))</f>
        <v>N/A</v>
      </c>
      <c r="M21" s="10" t="str">
        <f>VLOOKUP($A21,'Institution Evaluation'!$A$56:$K$346,10,0)&amp;""</f>
        <v/>
      </c>
      <c r="N21" s="10">
        <f t="shared" si="2"/>
        <v>0</v>
      </c>
      <c r="O21" s="114" t="str">
        <f t="shared" si="3"/>
        <v>N/A</v>
      </c>
      <c r="P21" s="114" t="str">
        <f t="shared" si="4"/>
        <v>N/A</v>
      </c>
      <c r="Q21" s="114">
        <f t="shared" si="5"/>
        <v>0</v>
      </c>
      <c r="R21" s="114">
        <f t="shared" si="9"/>
        <v>0</v>
      </c>
      <c r="S21" s="114">
        <f t="shared" si="6"/>
        <v>0</v>
      </c>
      <c r="T21" s="114">
        <f t="shared" si="7"/>
        <v>0</v>
      </c>
      <c r="U21" s="114">
        <f t="shared" si="10"/>
        <v>1</v>
      </c>
      <c r="V21" s="114">
        <f t="shared" si="8"/>
        <v>0</v>
      </c>
    </row>
    <row r="22" spans="1:22" ht="56" x14ac:dyDescent="0.3">
      <c r="A22" s="10" t="str">
        <f>Questions!$A22</f>
        <v>REQU-06</v>
      </c>
      <c r="B22" s="10" t="str">
        <f t="shared" si="0"/>
        <v>REQU</v>
      </c>
      <c r="C22" s="10" t="str">
        <f>VLOOKUP($A22,Questions!$A$3:$L$333,2,0)&amp;""</f>
        <v>Is the solution designed to process, store, or transmit credit card information?</v>
      </c>
      <c r="D22" s="10" t="str">
        <f>VLOOKUP($A22,Questions!$A$3:$L$333,11,0)&amp;""</f>
        <v>NA</v>
      </c>
      <c r="E22" s="10" t="str">
        <f>VLOOKUP($A22,Questions!$A$3:$L$333,12,0)&amp;""</f>
        <v>Not Scored</v>
      </c>
      <c r="F22" s="10" t="str">
        <f>VLOOKUP($A22,'Institution Evaluation'!$A$56:$K$346,3,0)&amp;""</f>
        <v>No</v>
      </c>
      <c r="G22" s="10" t="str">
        <f>VLOOKUP($A22,'Institution Evaluation'!$A$56:$K$346,7,0)&amp;""</f>
        <v>Not scored</v>
      </c>
      <c r="H22" s="10" t="str">
        <f>VLOOKUP($A22,'Institution Evaluation'!$A$56:$K$346,8,0)&amp;""</f>
        <v/>
      </c>
      <c r="I22" s="10" t="str">
        <f>VLOOKUP($A22,'Institution Evaluation'!$A$56:$K$346,9,0)&amp;""</f>
        <v/>
      </c>
      <c r="J22" s="10" t="str">
        <f>VLOOKUP($A22,'Institution Evaluation'!$A$56:$K$346,10,0)&amp;""</f>
        <v/>
      </c>
      <c r="K22" s="10">
        <f t="shared" si="1"/>
        <v>10</v>
      </c>
      <c r="L22" s="114" t="str">
        <f>IF($E22="Not Scored", "N/A",IF(AND($D22='Auto Responses'!$J$27,$H22=""),"N/A",IF(AND($D22='Auto Responses'!$J$27,$H22='Auto Responses'!$J$7),1,IF(AND($D22='Auto Responses'!$J$27,$H22='Auto Responses'!$J$8),0,IF(OR($F22=$G22,$H22='Auto Responses'!$J$7),1,0)))))</f>
        <v>N/A</v>
      </c>
      <c r="M22" s="10" t="str">
        <f>VLOOKUP($A22,'Institution Evaluation'!$A$56:$K$346,10,0)&amp;""</f>
        <v/>
      </c>
      <c r="N22" s="10">
        <f t="shared" si="2"/>
        <v>0</v>
      </c>
      <c r="O22" s="114" t="str">
        <f t="shared" si="3"/>
        <v>N/A</v>
      </c>
      <c r="P22" s="114" t="str">
        <f t="shared" si="4"/>
        <v>N/A</v>
      </c>
      <c r="Q22" s="114">
        <f t="shared" si="5"/>
        <v>0</v>
      </c>
      <c r="R22" s="114">
        <f t="shared" si="9"/>
        <v>0</v>
      </c>
      <c r="S22" s="114">
        <f t="shared" si="6"/>
        <v>0</v>
      </c>
      <c r="T22" s="114">
        <f t="shared" si="7"/>
        <v>0</v>
      </c>
      <c r="U22" s="114">
        <f t="shared" si="10"/>
        <v>1</v>
      </c>
      <c r="V22" s="114">
        <f t="shared" si="8"/>
        <v>0</v>
      </c>
    </row>
    <row r="23" spans="1:22" ht="70" x14ac:dyDescent="0.3">
      <c r="A23" s="10" t="str">
        <f>Questions!$A23</f>
        <v>REQU-07</v>
      </c>
      <c r="B23" s="10" t="str">
        <f t="shared" si="0"/>
        <v>REQU</v>
      </c>
      <c r="C23" s="10" t="str">
        <f>VLOOKUP($A23,Questions!$A$3:$L$333,2,0)&amp;""</f>
        <v>Does operating your solution require the institution to operate a physical or virtual appliance in their own environment or to provide inbound firewall exceptions to allow your employees to remotely administer systems in the institution's environment?</v>
      </c>
      <c r="D23" s="10" t="str">
        <f>VLOOKUP($A23,Questions!$A$3:$L$333,11,0)&amp;""</f>
        <v>NA</v>
      </c>
      <c r="E23" s="10" t="str">
        <f>VLOOKUP($A23,Questions!$A$3:$L$333,12,0)&amp;""</f>
        <v>Not Scored</v>
      </c>
      <c r="F23" s="10" t="str">
        <f>VLOOKUP($A23,'Institution Evaluation'!$A$56:$K$346,3,0)&amp;""</f>
        <v>No</v>
      </c>
      <c r="G23" s="10" t="str">
        <f>VLOOKUP($A23,'Institution Evaluation'!$A$56:$K$346,7,0)&amp;""</f>
        <v>Not scored</v>
      </c>
      <c r="H23" s="10" t="str">
        <f>VLOOKUP($A23,'Institution Evaluation'!$A$56:$K$346,8,0)&amp;""</f>
        <v/>
      </c>
      <c r="I23" s="10" t="str">
        <f>VLOOKUP($A23,'Institution Evaluation'!$A$56:$K$346,9,0)&amp;""</f>
        <v/>
      </c>
      <c r="J23" s="10" t="str">
        <f>VLOOKUP($A23,'Institution Evaluation'!$A$56:$K$346,10,0)&amp;""</f>
        <v/>
      </c>
      <c r="K23" s="10">
        <f t="shared" si="1"/>
        <v>10</v>
      </c>
      <c r="L23" s="114" t="str">
        <f>IF($E23="Not Scored", "N/A",IF(AND($D23='Auto Responses'!$J$27,$H23=""),"N/A",IF(AND($D23='Auto Responses'!$J$27,$H23='Auto Responses'!$J$7),1,IF(AND($D23='Auto Responses'!$J$27,$H23='Auto Responses'!$J$8),0,IF(OR($F23=$G23,$H23='Auto Responses'!$J$7),1,0)))))</f>
        <v>N/A</v>
      </c>
      <c r="M23" s="10" t="str">
        <f>VLOOKUP($A23,'Institution Evaluation'!$A$56:$K$346,10,0)&amp;""</f>
        <v/>
      </c>
      <c r="N23" s="10">
        <f t="shared" si="2"/>
        <v>0</v>
      </c>
      <c r="O23" s="114" t="str">
        <f t="shared" si="3"/>
        <v>N/A</v>
      </c>
      <c r="P23" s="114" t="str">
        <f t="shared" si="4"/>
        <v>N/A</v>
      </c>
      <c r="Q23" s="114">
        <f t="shared" si="5"/>
        <v>0</v>
      </c>
      <c r="R23" s="114">
        <f t="shared" si="9"/>
        <v>0</v>
      </c>
      <c r="S23" s="114">
        <f t="shared" si="6"/>
        <v>0</v>
      </c>
      <c r="T23" s="114">
        <f t="shared" si="7"/>
        <v>0</v>
      </c>
      <c r="U23" s="114">
        <f t="shared" si="10"/>
        <v>1</v>
      </c>
      <c r="V23" s="114">
        <f t="shared" si="8"/>
        <v>0</v>
      </c>
    </row>
    <row r="24" spans="1:22" ht="56" x14ac:dyDescent="0.3">
      <c r="A24" s="10" t="str">
        <f>Questions!$A24</f>
        <v>REQU-08</v>
      </c>
      <c r="B24" s="10" t="str">
        <f t="shared" si="0"/>
        <v>REQU</v>
      </c>
      <c r="C24" s="10" t="str">
        <f>VLOOKUP($A24,Questions!$A$3:$L$333,2,0)&amp;""</f>
        <v>Does your solution have access to personal or institutional data?</v>
      </c>
      <c r="D24" s="10" t="str">
        <f>VLOOKUP($A24,Questions!$A$3:$L$333,11,0)&amp;""</f>
        <v>NA</v>
      </c>
      <c r="E24" s="10" t="str">
        <f>VLOOKUP($A24,Questions!$A$3:$L$333,12,0)&amp;""</f>
        <v>Not Scored</v>
      </c>
      <c r="F24" s="10" t="str">
        <f>VLOOKUP($A24,'Institution Evaluation'!$A$56:$K$346,3,0)&amp;""</f>
        <v>Yes</v>
      </c>
      <c r="G24" s="10" t="str">
        <f>VLOOKUP($A24,'Institution Evaluation'!$A$56:$K$346,7,0)&amp;""</f>
        <v>Not scored</v>
      </c>
      <c r="H24" s="10" t="str">
        <f>VLOOKUP($A24,'Institution Evaluation'!$A$56:$K$346,8,0)&amp;""</f>
        <v/>
      </c>
      <c r="I24" s="10" t="str">
        <f>VLOOKUP($A24,'Institution Evaluation'!$A$56:$K$346,9,0)&amp;""</f>
        <v/>
      </c>
      <c r="J24" s="10" t="str">
        <f>VLOOKUP($A24,'Institution Evaluation'!$A$56:$K$346,10,0)&amp;""</f>
        <v/>
      </c>
      <c r="K24" s="10">
        <f t="shared" si="1"/>
        <v>10</v>
      </c>
      <c r="L24" s="114" t="str">
        <f>IF($E24="Not Scored", "N/A",IF(AND($D24='Auto Responses'!$J$27,$H24=""),"N/A",IF(AND($D24='Auto Responses'!$J$27,$H24='Auto Responses'!$J$7),1,IF(AND($D24='Auto Responses'!$J$27,$H24='Auto Responses'!$J$8),0,IF(OR($F24=$G24,$H24='Auto Responses'!$J$7),1,0)))))</f>
        <v>N/A</v>
      </c>
      <c r="M24" s="10" t="str">
        <f>VLOOKUP($A24,'Institution Evaluation'!$A$56:$K$346,10,0)&amp;""</f>
        <v/>
      </c>
      <c r="N24" s="10">
        <f t="shared" si="2"/>
        <v>0</v>
      </c>
      <c r="O24" s="114" t="str">
        <f t="shared" si="3"/>
        <v>N/A</v>
      </c>
      <c r="P24" s="114" t="str">
        <f t="shared" si="4"/>
        <v>N/A</v>
      </c>
      <c r="Q24" s="114">
        <f t="shared" si="5"/>
        <v>0</v>
      </c>
      <c r="R24" s="114">
        <f t="shared" si="9"/>
        <v>0</v>
      </c>
      <c r="S24" s="114">
        <f t="shared" si="6"/>
        <v>0</v>
      </c>
      <c r="T24" s="114">
        <f t="shared" si="7"/>
        <v>0</v>
      </c>
      <c r="U24" s="114">
        <f t="shared" si="10"/>
        <v>1</v>
      </c>
      <c r="V24" s="114">
        <f t="shared" si="8"/>
        <v>0</v>
      </c>
    </row>
    <row r="25" spans="1:22" ht="56" x14ac:dyDescent="0.3">
      <c r="A25" s="10" t="str">
        <f>Questions!$A25</f>
        <v>DOCU-01</v>
      </c>
      <c r="B25" s="10" t="str">
        <f t="shared" si="0"/>
        <v>DOCU</v>
      </c>
      <c r="C25" s="10" t="str">
        <f>VLOOKUP($A25,Questions!$A$3:$L$333,2,0)&amp;""</f>
        <v>Do you have a well-documented business continuity plan (BCP), with a clear owner, that is tested annually?*</v>
      </c>
      <c r="D25" s="10" t="str">
        <f>VLOOKUP($A25,Questions!$A$3:$L$333,11,0)&amp;""</f>
        <v/>
      </c>
      <c r="E25" s="10" t="str">
        <f>VLOOKUP($A25,Questions!$A$3:$L$333,12,0)&amp;""</f>
        <v>Organization</v>
      </c>
      <c r="F25" s="10" t="str">
        <f>VLOOKUP($A25,'Institution Evaluation'!$A$56:$K$346,3,0)&amp;""</f>
        <v>Yes</v>
      </c>
      <c r="G25" s="10" t="str">
        <f>VLOOKUP($A25,'Institution Evaluation'!$A$56:$K$346,7,0)&amp;""</f>
        <v>Yes</v>
      </c>
      <c r="H25" s="10" t="str">
        <f>VLOOKUP($A25,'Institution Evaluation'!$A$56:$K$346,8,0)&amp;""</f>
        <v/>
      </c>
      <c r="I25" s="10" t="str">
        <f>VLOOKUP($A25,'Institution Evaluation'!$A$56:$K$346,9,0)&amp;""</f>
        <v>Critical Importance</v>
      </c>
      <c r="J25" s="10" t="str">
        <f>VLOOKUP($A25,'Institution Evaluation'!$A$56:$K$346,10,0)&amp;""</f>
        <v/>
      </c>
      <c r="K25" s="10">
        <f t="shared" si="1"/>
        <v>20</v>
      </c>
      <c r="L25" s="114">
        <f>IF($E25="Not Scored", "N/A",IF(AND($D25='Auto Responses'!$J$27,$H25=""),"N/A",IF(AND($D25='Auto Responses'!$J$27,$H25='Auto Responses'!$J$7),1,IF(AND($D25='Auto Responses'!$J$27,$H25='Auto Responses'!$J$8),0,IF(OR($F25=$G25,$H25='Auto Responses'!$J$7),1,0)))))</f>
        <v>1</v>
      </c>
      <c r="M25" s="10" t="str">
        <f>VLOOKUP($A25,'Institution Evaluation'!$A$56:$K$346,10,0)&amp;""</f>
        <v/>
      </c>
      <c r="N25" s="10">
        <f t="shared" si="2"/>
        <v>1</v>
      </c>
      <c r="O25" s="114">
        <f t="shared" si="3"/>
        <v>20</v>
      </c>
      <c r="P25" s="114">
        <f t="shared" si="4"/>
        <v>20</v>
      </c>
      <c r="Q25" s="114">
        <f t="shared" si="5"/>
        <v>0</v>
      </c>
      <c r="R25" s="114">
        <f t="shared" si="9"/>
        <v>0</v>
      </c>
      <c r="S25" s="114">
        <f t="shared" si="6"/>
        <v>0</v>
      </c>
      <c r="T25" s="114">
        <f t="shared" si="7"/>
        <v>1</v>
      </c>
      <c r="U25" s="114">
        <f t="shared" si="10"/>
        <v>2</v>
      </c>
      <c r="V25" s="114">
        <f t="shared" si="8"/>
        <v>2</v>
      </c>
    </row>
    <row r="26" spans="1:22" ht="56" x14ac:dyDescent="0.3">
      <c r="A26" s="10" t="str">
        <f>Questions!$A26</f>
        <v>DOCU-02</v>
      </c>
      <c r="B26" s="10" t="str">
        <f t="shared" si="0"/>
        <v>DOCU</v>
      </c>
      <c r="C26" s="10" t="str">
        <f>VLOOKUP($A26,Questions!$A$3:$L$333,2,0)&amp;""</f>
        <v>Do you have a well-documented disaster recovery plan (DRP), with a clear owner, that is tested annually?*</v>
      </c>
      <c r="D26" s="10" t="str">
        <f>VLOOKUP($A26,Questions!$A$3:$L$333,11,0)&amp;""</f>
        <v/>
      </c>
      <c r="E26" s="10" t="str">
        <f>VLOOKUP($A26,Questions!$A$3:$L$333,12,0)&amp;""</f>
        <v>Organization</v>
      </c>
      <c r="F26" s="10" t="str">
        <f>VLOOKUP($A26,'Institution Evaluation'!$A$56:$K$346,3,0)&amp;""</f>
        <v>Yes</v>
      </c>
      <c r="G26" s="10" t="str">
        <f>VLOOKUP($A26,'Institution Evaluation'!$A$56:$K$346,7,0)&amp;""</f>
        <v>Yes</v>
      </c>
      <c r="H26" s="10" t="str">
        <f>VLOOKUP($A26,'Institution Evaluation'!$A$56:$K$346,8,0)&amp;""</f>
        <v/>
      </c>
      <c r="I26" s="10" t="str">
        <f>VLOOKUP($A26,'Institution Evaluation'!$A$56:$K$346,9,0)&amp;""</f>
        <v>Critical Importance</v>
      </c>
      <c r="J26" s="10" t="str">
        <f>VLOOKUP($A26,'Institution Evaluation'!$A$56:$K$346,10,0)&amp;""</f>
        <v/>
      </c>
      <c r="K26" s="10">
        <f t="shared" si="1"/>
        <v>20</v>
      </c>
      <c r="L26" s="114">
        <f>IF($E26="Not Scored", "N/A",IF(AND($D26='Auto Responses'!$J$27,$H26=""),"N/A",IF(AND($D26='Auto Responses'!$J$27,$H26='Auto Responses'!$J$7),1,IF(AND($D26='Auto Responses'!$J$27,$H26='Auto Responses'!$J$8),0,IF(OR($F26=$G26,$H26='Auto Responses'!$J$7),1,0)))))</f>
        <v>1</v>
      </c>
      <c r="M26" s="10" t="str">
        <f>VLOOKUP($A26,'Institution Evaluation'!$A$56:$K$346,10,0)&amp;""</f>
        <v/>
      </c>
      <c r="N26" s="10">
        <f t="shared" si="2"/>
        <v>1</v>
      </c>
      <c r="O26" s="114">
        <f t="shared" si="3"/>
        <v>20</v>
      </c>
      <c r="P26" s="114">
        <f t="shared" si="4"/>
        <v>20</v>
      </c>
      <c r="Q26" s="114">
        <f t="shared" si="5"/>
        <v>0</v>
      </c>
      <c r="R26" s="114">
        <f t="shared" si="9"/>
        <v>0</v>
      </c>
      <c r="S26" s="114">
        <f t="shared" si="6"/>
        <v>0</v>
      </c>
      <c r="T26" s="114">
        <f t="shared" si="7"/>
        <v>1</v>
      </c>
      <c r="U26" s="114">
        <f t="shared" si="10"/>
        <v>3</v>
      </c>
      <c r="V26" s="114">
        <f t="shared" si="8"/>
        <v>3</v>
      </c>
    </row>
    <row r="27" spans="1:22" ht="56" x14ac:dyDescent="0.3">
      <c r="A27" s="10" t="str">
        <f>Questions!$A27</f>
        <v>DOCU-03</v>
      </c>
      <c r="B27" s="10" t="str">
        <f t="shared" si="0"/>
        <v>DOCU</v>
      </c>
      <c r="C27" s="10" t="str">
        <f>VLOOKUP($A27,Questions!$A$3:$L$333,2,0)&amp;""</f>
        <v>Have you undergone a SSAE 18/SOC 2 audit?</v>
      </c>
      <c r="D27" s="10" t="str">
        <f>VLOOKUP($A27,Questions!$A$3:$L$333,11,0)&amp;""</f>
        <v/>
      </c>
      <c r="E27" s="10" t="str">
        <f>VLOOKUP($A27,Questions!$A$3:$L$333,12,0)&amp;""</f>
        <v>Organization</v>
      </c>
      <c r="F27" s="10" t="str">
        <f>VLOOKUP($A27,'Institution Evaluation'!$A$56:$K$346,3,0)&amp;""</f>
        <v>Yes</v>
      </c>
      <c r="G27" s="10" t="str">
        <f>VLOOKUP($A27,'Institution Evaluation'!$A$56:$K$346,7,0)&amp;""</f>
        <v>Yes</v>
      </c>
      <c r="H27" s="10" t="str">
        <f>VLOOKUP($A27,'Institution Evaluation'!$A$56:$K$346,8,0)&amp;""</f>
        <v/>
      </c>
      <c r="I27" s="10" t="str">
        <f>VLOOKUP($A27,'Institution Evaluation'!$A$56:$K$346,9,0)&amp;""</f>
        <v>Standard Importance</v>
      </c>
      <c r="J27" s="10" t="str">
        <f>VLOOKUP($A27,'Institution Evaluation'!$A$56:$K$346,10,0)&amp;""</f>
        <v/>
      </c>
      <c r="K27" s="10">
        <f t="shared" si="1"/>
        <v>10</v>
      </c>
      <c r="L27" s="114">
        <f>IF($E27="Not Scored", "N/A",IF(AND($D27='Auto Responses'!$J$27,$H27=""),"N/A",IF(AND($D27='Auto Responses'!$J$27,$H27='Auto Responses'!$J$7),1,IF(AND($D27='Auto Responses'!$J$27,$H27='Auto Responses'!$J$8),0,IF(OR($F27=$G27,$H27='Auto Responses'!$J$7),1,0)))))</f>
        <v>1</v>
      </c>
      <c r="M27" s="10" t="str">
        <f>VLOOKUP($A27,'Institution Evaluation'!$A$56:$K$346,10,0)&amp;""</f>
        <v/>
      </c>
      <c r="N27" s="10">
        <f t="shared" si="2"/>
        <v>0</v>
      </c>
      <c r="O27" s="114">
        <f t="shared" si="3"/>
        <v>10</v>
      </c>
      <c r="P27" s="114">
        <f t="shared" si="4"/>
        <v>10</v>
      </c>
      <c r="Q27" s="114">
        <f t="shared" si="5"/>
        <v>0</v>
      </c>
      <c r="R27" s="114">
        <f t="shared" si="9"/>
        <v>0</v>
      </c>
      <c r="S27" s="114">
        <f t="shared" si="6"/>
        <v>0</v>
      </c>
      <c r="T27" s="114">
        <f t="shared" si="7"/>
        <v>0</v>
      </c>
      <c r="U27" s="114">
        <f t="shared" si="10"/>
        <v>3</v>
      </c>
      <c r="V27" s="114">
        <f t="shared" si="8"/>
        <v>0</v>
      </c>
    </row>
    <row r="28" spans="1:22" ht="56" x14ac:dyDescent="0.3">
      <c r="A28" s="10" t="str">
        <f>Questions!$A28</f>
        <v>DOCU-04</v>
      </c>
      <c r="B28" s="10" t="str">
        <f t="shared" si="0"/>
        <v>DOCU</v>
      </c>
      <c r="C28" s="10" t="str">
        <f>VLOOKUP($A28,Questions!$A$3:$L$333,2,0)&amp;""</f>
        <v>Do you conform with a specific industry standard security framework (e.g., NIST Cybersecurity Framework, CIS Controls, ISO 27001, etc.)?</v>
      </c>
      <c r="D28" s="10" t="str">
        <f>VLOOKUP($A28,Questions!$A$3:$L$333,11,0)&amp;""</f>
        <v/>
      </c>
      <c r="E28" s="10" t="str">
        <f>VLOOKUP($A28,Questions!$A$3:$L$333,12,0)&amp;""</f>
        <v>Organization</v>
      </c>
      <c r="F28" s="10" t="str">
        <f>VLOOKUP($A28,'Institution Evaluation'!$A$56:$K$346,3,0)&amp;""</f>
        <v>Yes</v>
      </c>
      <c r="G28" s="10" t="str">
        <f>VLOOKUP($A28,'Institution Evaluation'!$A$56:$K$346,7,0)&amp;""</f>
        <v>Yes</v>
      </c>
      <c r="H28" s="10" t="str">
        <f>VLOOKUP($A28,'Institution Evaluation'!$A$56:$K$346,8,0)&amp;""</f>
        <v/>
      </c>
      <c r="I28" s="10" t="str">
        <f>VLOOKUP($A28,'Institution Evaluation'!$A$56:$K$346,9,0)&amp;""</f>
        <v>Standard Importance</v>
      </c>
      <c r="J28" s="10" t="str">
        <f>VLOOKUP($A28,'Institution Evaluation'!$A$56:$K$346,10,0)&amp;""</f>
        <v/>
      </c>
      <c r="K28" s="10">
        <f t="shared" si="1"/>
        <v>10</v>
      </c>
      <c r="L28" s="114">
        <f>IF($E28="Not Scored", "N/A",IF(AND($D28='Auto Responses'!$J$27,$H28=""),"N/A",IF(AND($D28='Auto Responses'!$J$27,$H28='Auto Responses'!$J$7),1,IF(AND($D28='Auto Responses'!$J$27,$H28='Auto Responses'!$J$8),0,IF(OR($F28=$G28,$H28='Auto Responses'!$J$7),1,0)))))</f>
        <v>1</v>
      </c>
      <c r="M28" s="10" t="str">
        <f>VLOOKUP($A28,'Institution Evaluation'!$A$56:$K$346,10,0)&amp;""</f>
        <v/>
      </c>
      <c r="N28" s="10">
        <f t="shared" si="2"/>
        <v>0</v>
      </c>
      <c r="O28" s="114">
        <f t="shared" si="3"/>
        <v>10</v>
      </c>
      <c r="P28" s="114">
        <f t="shared" si="4"/>
        <v>10</v>
      </c>
      <c r="Q28" s="114">
        <f t="shared" si="5"/>
        <v>0</v>
      </c>
      <c r="R28" s="114">
        <f t="shared" si="9"/>
        <v>0</v>
      </c>
      <c r="S28" s="114">
        <f t="shared" si="6"/>
        <v>0</v>
      </c>
      <c r="T28" s="114">
        <f t="shared" si="7"/>
        <v>0</v>
      </c>
      <c r="U28" s="114">
        <f t="shared" si="10"/>
        <v>3</v>
      </c>
      <c r="V28" s="114">
        <f t="shared" si="8"/>
        <v>0</v>
      </c>
    </row>
    <row r="29" spans="1:22" ht="56" x14ac:dyDescent="0.3">
      <c r="A29" s="10" t="str">
        <f>Questions!$A29</f>
        <v>DOCU-05</v>
      </c>
      <c r="B29" s="10" t="str">
        <f t="shared" si="0"/>
        <v>DOCU</v>
      </c>
      <c r="C29" s="10" t="str">
        <f>VLOOKUP($A29,Questions!$A$3:$L$333,2,0)&amp;""</f>
        <v>Can you provide overall system and/or application architecture diagrams, including a full description of the data flow for all components of the system?</v>
      </c>
      <c r="D29" s="10" t="str">
        <f>VLOOKUP($A29,Questions!$A$3:$L$333,11,0)&amp;""</f>
        <v/>
      </c>
      <c r="E29" s="10" t="str">
        <f>VLOOKUP($A29,Questions!$A$3:$L$333,12,0)&amp;""</f>
        <v>Organization</v>
      </c>
      <c r="F29" s="10" t="str">
        <f>VLOOKUP($A29,'Institution Evaluation'!$A$56:$K$346,3,0)&amp;""</f>
        <v>Yes</v>
      </c>
      <c r="G29" s="10" t="str">
        <f>VLOOKUP($A29,'Institution Evaluation'!$A$56:$K$346,7,0)&amp;""</f>
        <v>Yes</v>
      </c>
      <c r="H29" s="10" t="str">
        <f>VLOOKUP($A29,'Institution Evaluation'!$A$56:$K$346,8,0)&amp;""</f>
        <v/>
      </c>
      <c r="I29" s="10" t="str">
        <f>VLOOKUP($A29,'Institution Evaluation'!$A$56:$K$346,9,0)&amp;""</f>
        <v>Standard Importance</v>
      </c>
      <c r="J29" s="10" t="str">
        <f>VLOOKUP($A29,'Institution Evaluation'!$A$56:$K$346,10,0)&amp;""</f>
        <v/>
      </c>
      <c r="K29" s="10">
        <f t="shared" si="1"/>
        <v>10</v>
      </c>
      <c r="L29" s="114">
        <f>IF($E29="Not Scored", "N/A",IF(AND($D29='Auto Responses'!$J$27,$H29=""),"N/A",IF(AND($D29='Auto Responses'!$J$27,$H29='Auto Responses'!$J$7),1,IF(AND($D29='Auto Responses'!$J$27,$H29='Auto Responses'!$J$8),0,IF(OR($F29=$G29,$H29='Auto Responses'!$J$7),1,0)))))</f>
        <v>1</v>
      </c>
      <c r="M29" s="10" t="str">
        <f>VLOOKUP($A29,'Institution Evaluation'!$A$56:$K$346,10,0)&amp;""</f>
        <v/>
      </c>
      <c r="N29" s="10">
        <f t="shared" si="2"/>
        <v>0</v>
      </c>
      <c r="O29" s="114">
        <f t="shared" si="3"/>
        <v>10</v>
      </c>
      <c r="P29" s="114">
        <f t="shared" si="4"/>
        <v>10</v>
      </c>
      <c r="Q29" s="114">
        <f t="shared" si="5"/>
        <v>0</v>
      </c>
      <c r="R29" s="114">
        <f t="shared" si="9"/>
        <v>0</v>
      </c>
      <c r="S29" s="114">
        <f t="shared" si="6"/>
        <v>0</v>
      </c>
      <c r="T29" s="114">
        <f t="shared" si="7"/>
        <v>0</v>
      </c>
      <c r="U29" s="114">
        <f t="shared" si="10"/>
        <v>3</v>
      </c>
      <c r="V29" s="114">
        <f t="shared" si="8"/>
        <v>0</v>
      </c>
    </row>
    <row r="30" spans="1:22" ht="56" x14ac:dyDescent="0.3">
      <c r="A30" s="10" t="str">
        <f>Questions!$A30</f>
        <v>DOCU-06</v>
      </c>
      <c r="B30" s="10" t="str">
        <f t="shared" si="0"/>
        <v>DOCU</v>
      </c>
      <c r="C30" s="10" t="str">
        <f>VLOOKUP($A30,Questions!$A$3:$L$333,2,0)&amp;""</f>
        <v>Does your organization have a data privacy policy?</v>
      </c>
      <c r="D30" s="10" t="str">
        <f>VLOOKUP($A30,Questions!$A$3:$L$333,11,0)&amp;""</f>
        <v/>
      </c>
      <c r="E30" s="10" t="str">
        <f>VLOOKUP($A30,Questions!$A$3:$L$333,12,0)&amp;""</f>
        <v>Organization</v>
      </c>
      <c r="F30" s="10" t="str">
        <f>VLOOKUP($A30,'Institution Evaluation'!$A$56:$K$346,3,0)&amp;""</f>
        <v>Yes</v>
      </c>
      <c r="G30" s="10" t="str">
        <f>VLOOKUP($A30,'Institution Evaluation'!$A$56:$K$346,7,0)&amp;""</f>
        <v>Yes</v>
      </c>
      <c r="H30" s="10" t="str">
        <f>VLOOKUP($A30,'Institution Evaluation'!$A$56:$K$346,8,0)&amp;""</f>
        <v/>
      </c>
      <c r="I30" s="10" t="str">
        <f>VLOOKUP($A30,'Institution Evaluation'!$A$56:$K$346,9,0)&amp;""</f>
        <v>Standard Importance</v>
      </c>
      <c r="J30" s="10" t="str">
        <f>VLOOKUP($A30,'Institution Evaluation'!$A$56:$K$346,10,0)&amp;""</f>
        <v/>
      </c>
      <c r="K30" s="10">
        <f t="shared" si="1"/>
        <v>10</v>
      </c>
      <c r="L30" s="114">
        <f>IF($E30="Not Scored", "N/A",IF(AND($D30='Auto Responses'!$J$27,$H30=""),"N/A",IF(AND($D30='Auto Responses'!$J$27,$H30='Auto Responses'!$J$7),1,IF(AND($D30='Auto Responses'!$J$27,$H30='Auto Responses'!$J$8),0,IF(OR($F30=$G30,$H30='Auto Responses'!$J$7),1,0)))))</f>
        <v>1</v>
      </c>
      <c r="M30" s="10" t="str">
        <f>VLOOKUP($A30,'Institution Evaluation'!$A$56:$K$346,10,0)&amp;""</f>
        <v/>
      </c>
      <c r="N30" s="10">
        <f t="shared" si="2"/>
        <v>0</v>
      </c>
      <c r="O30" s="114">
        <f t="shared" si="3"/>
        <v>10</v>
      </c>
      <c r="P30" s="114">
        <f t="shared" si="4"/>
        <v>10</v>
      </c>
      <c r="Q30" s="114">
        <f t="shared" si="5"/>
        <v>0</v>
      </c>
      <c r="R30" s="114">
        <f t="shared" si="9"/>
        <v>0</v>
      </c>
      <c r="S30" s="114">
        <f t="shared" si="6"/>
        <v>0</v>
      </c>
      <c r="T30" s="114">
        <f t="shared" si="7"/>
        <v>0</v>
      </c>
      <c r="U30" s="114">
        <f t="shared" si="10"/>
        <v>3</v>
      </c>
      <c r="V30" s="114">
        <f t="shared" si="8"/>
        <v>0</v>
      </c>
    </row>
    <row r="31" spans="1:22" ht="56" x14ac:dyDescent="0.3">
      <c r="A31" s="10" t="str">
        <f>Questions!$A31</f>
        <v>DOCU-07</v>
      </c>
      <c r="B31" s="10" t="str">
        <f t="shared" si="0"/>
        <v>DOCU</v>
      </c>
      <c r="C31" s="10" t="str">
        <f>VLOOKUP($A31,Questions!$A$3:$L$333,2,0)&amp;""</f>
        <v>Do you have a documented, and currently implemented, employee onboarding and offboarding policy?</v>
      </c>
      <c r="D31" s="10" t="str">
        <f>VLOOKUP($A31,Questions!$A$3:$L$333,11,0)&amp;""</f>
        <v/>
      </c>
      <c r="E31" s="10" t="str">
        <f>VLOOKUP($A31,Questions!$A$3:$L$333,12,0)&amp;""</f>
        <v>Organization</v>
      </c>
      <c r="F31" s="10" t="str">
        <f>VLOOKUP($A31,'Institution Evaluation'!$A$56:$K$346,3,0)&amp;""</f>
        <v>Yes</v>
      </c>
      <c r="G31" s="10" t="str">
        <f>VLOOKUP($A31,'Institution Evaluation'!$A$56:$K$346,7,0)&amp;""</f>
        <v>Yes</v>
      </c>
      <c r="H31" s="10" t="str">
        <f>VLOOKUP($A31,'Institution Evaluation'!$A$56:$K$346,8,0)&amp;""</f>
        <v/>
      </c>
      <c r="I31" s="10" t="str">
        <f>VLOOKUP($A31,'Institution Evaluation'!$A$56:$K$346,9,0)&amp;""</f>
        <v>Standard Importance</v>
      </c>
      <c r="J31" s="10" t="str">
        <f>VLOOKUP($A31,'Institution Evaluation'!$A$56:$K$346,10,0)&amp;""</f>
        <v/>
      </c>
      <c r="K31" s="10">
        <f t="shared" si="1"/>
        <v>10</v>
      </c>
      <c r="L31" s="114">
        <f>IF($E31="Not Scored", "N/A",IF(AND($D31='Auto Responses'!$J$27,$H31=""),"N/A",IF(AND($D31='Auto Responses'!$J$27,$H31='Auto Responses'!$J$7),1,IF(AND($D31='Auto Responses'!$J$27,$H31='Auto Responses'!$J$8),0,IF(OR($F31=$G31,$H31='Auto Responses'!$J$7),1,0)))))</f>
        <v>1</v>
      </c>
      <c r="M31" s="10" t="str">
        <f>VLOOKUP($A31,'Institution Evaluation'!$A$56:$K$346,10,0)&amp;""</f>
        <v/>
      </c>
      <c r="N31" s="10">
        <f t="shared" si="2"/>
        <v>0</v>
      </c>
      <c r="O31" s="114">
        <f t="shared" si="3"/>
        <v>10</v>
      </c>
      <c r="P31" s="114">
        <f t="shared" si="4"/>
        <v>10</v>
      </c>
      <c r="Q31" s="114">
        <f t="shared" si="5"/>
        <v>0</v>
      </c>
      <c r="R31" s="114">
        <f t="shared" si="9"/>
        <v>0</v>
      </c>
      <c r="S31" s="114">
        <f t="shared" si="6"/>
        <v>0</v>
      </c>
      <c r="T31" s="114">
        <f t="shared" si="7"/>
        <v>0</v>
      </c>
      <c r="U31" s="114">
        <f t="shared" si="10"/>
        <v>3</v>
      </c>
      <c r="V31" s="114">
        <f t="shared" si="8"/>
        <v>0</v>
      </c>
    </row>
    <row r="32" spans="1:22" ht="56" x14ac:dyDescent="0.3">
      <c r="A32" s="10" t="str">
        <f>Questions!$A32</f>
        <v>ITAC-01</v>
      </c>
      <c r="B32" s="10" t="str">
        <f t="shared" si="0"/>
        <v>ITAC</v>
      </c>
      <c r="C32" s="10" t="str">
        <f>VLOOKUP($A32,Questions!$A$3:$L$333,2,0)&amp;""</f>
        <v>Solution Provider Accessibility Contact Name</v>
      </c>
      <c r="D32" s="10" t="str">
        <f>VLOOKUP($A32,Questions!$A$3:$L$333,11,0)&amp;""</f>
        <v>NA</v>
      </c>
      <c r="E32" s="10" t="str">
        <f>VLOOKUP($A32,Questions!$A$3:$L$333,12,0)&amp;""</f>
        <v>Not Scored</v>
      </c>
      <c r="F32" s="10" t="str">
        <f>VLOOKUP($A32,'Institution Evaluation'!$A$56:$K$346,3,0)&amp;""</f>
        <v>Mark Rank</v>
      </c>
      <c r="G32" s="10" t="str">
        <f>VLOOKUP($A32,'Institution Evaluation'!$A$56:$K$346,7,0)&amp;""</f>
        <v>Not scored</v>
      </c>
      <c r="H32" s="10" t="str">
        <f>VLOOKUP($A32,'Institution Evaluation'!$A$56:$K$346,8,0)&amp;""</f>
        <v/>
      </c>
      <c r="I32" s="10" t="str">
        <f>VLOOKUP($A32,'Institution Evaluation'!$A$56:$K$346,9,0)&amp;""</f>
        <v/>
      </c>
      <c r="J32" s="10" t="str">
        <f>VLOOKUP($A32,'Institution Evaluation'!$A$56:$K$346,10,0)&amp;""</f>
        <v/>
      </c>
      <c r="K32" s="10">
        <f t="shared" si="1"/>
        <v>10</v>
      </c>
      <c r="L32" s="114" t="str">
        <f>IF($E32="Not Scored", "N/A",IF(AND($D32='Auto Responses'!$J$27,$H32=""),"N/A",IF(AND($D32='Auto Responses'!$J$27,$H32='Auto Responses'!$J$7),1,IF(AND($D32='Auto Responses'!$J$27,$H32='Auto Responses'!$J$8),0,IF(OR($F32=$G32,$H32='Auto Responses'!$J$7),1,0)))))</f>
        <v>N/A</v>
      </c>
      <c r="M32" s="10" t="str">
        <f>VLOOKUP($A32,'Institution Evaluation'!$A$56:$K$346,10,0)&amp;""</f>
        <v/>
      </c>
      <c r="N32" s="10">
        <f t="shared" si="2"/>
        <v>0</v>
      </c>
      <c r="O32" s="114" t="str">
        <f>IF(OR($F$18="No",$E32="Not Scored"),"N/A",IF($J32="",$K32,IF($J32="Minor Importance",5,IF($J32="Standard Importance",10,IF($J32="Critical Importance",20,0)))))</f>
        <v>N/A</v>
      </c>
      <c r="P32" s="114" t="str">
        <f t="shared" si="4"/>
        <v>N/A</v>
      </c>
      <c r="Q32" s="114">
        <f t="shared" si="5"/>
        <v>0</v>
      </c>
      <c r="R32" s="114">
        <f t="shared" si="9"/>
        <v>0</v>
      </c>
      <c r="S32" s="114">
        <f t="shared" si="6"/>
        <v>0</v>
      </c>
      <c r="T32" s="114">
        <f t="shared" si="7"/>
        <v>0</v>
      </c>
      <c r="U32" s="114">
        <f t="shared" si="10"/>
        <v>3</v>
      </c>
      <c r="V32" s="114">
        <f t="shared" si="8"/>
        <v>0</v>
      </c>
    </row>
    <row r="33" spans="1:22" ht="56" x14ac:dyDescent="0.3">
      <c r="A33" s="10" t="str">
        <f>Questions!$A33</f>
        <v>ITAC-02</v>
      </c>
      <c r="B33" s="10" t="str">
        <f t="shared" si="0"/>
        <v>ITAC</v>
      </c>
      <c r="C33" s="10" t="str">
        <f>VLOOKUP($A33,Questions!$A$3:$L$333,2,0)&amp;""</f>
        <v>Solution Provider Accessibility Contact Title</v>
      </c>
      <c r="D33" s="10" t="str">
        <f>VLOOKUP($A33,Questions!$A$3:$L$333,11,0)&amp;""</f>
        <v>NA</v>
      </c>
      <c r="E33" s="10" t="str">
        <f>VLOOKUP($A33,Questions!$A$3:$L$333,12,0)&amp;""</f>
        <v>Not Scored</v>
      </c>
      <c r="F33" s="10" t="str">
        <f>VLOOKUP($A33,'Institution Evaluation'!$A$56:$K$346,3,0)&amp;""</f>
        <v>Dir of Compliance and Stratigic Insights</v>
      </c>
      <c r="G33" s="10" t="str">
        <f>VLOOKUP($A33,'Institution Evaluation'!$A$56:$K$346,7,0)&amp;""</f>
        <v>Not scored</v>
      </c>
      <c r="H33" s="10" t="str">
        <f>VLOOKUP($A33,'Institution Evaluation'!$A$56:$K$346,8,0)&amp;""</f>
        <v/>
      </c>
      <c r="I33" s="10" t="str">
        <f>VLOOKUP($A33,'Institution Evaluation'!$A$56:$K$346,9,0)&amp;""</f>
        <v/>
      </c>
      <c r="J33" s="10" t="str">
        <f>VLOOKUP($A33,'Institution Evaluation'!$A$56:$K$346,10,0)&amp;""</f>
        <v/>
      </c>
      <c r="K33" s="10">
        <f t="shared" si="1"/>
        <v>10</v>
      </c>
      <c r="L33" s="114" t="str">
        <f>IF($E33="Not Scored", "N/A",IF(AND($D33='Auto Responses'!$J$27,$H33=""),"N/A",IF(AND($D33='Auto Responses'!$J$27,$H33='Auto Responses'!$J$7),1,IF(AND($D33='Auto Responses'!$J$27,$H33='Auto Responses'!$J$8),0,IF(OR($F33=$G33,$H33='Auto Responses'!$J$7),1,0)))))</f>
        <v>N/A</v>
      </c>
      <c r="M33" s="10" t="str">
        <f>VLOOKUP($A33,'Institution Evaluation'!$A$56:$K$346,10,0)&amp;""</f>
        <v/>
      </c>
      <c r="N33" s="10">
        <f t="shared" si="2"/>
        <v>0</v>
      </c>
      <c r="O33" s="114" t="str">
        <f t="shared" ref="O33:O49" si="11">IF(OR($F$18="No",$E33="Not Scored"),"N/A",IF($J33="",$K33,IF($J33="Minor Importance",5,IF($J33="Standard Importance",10,IF($J33="Critical Importance",20,0)))))</f>
        <v>N/A</v>
      </c>
      <c r="P33" s="114" t="str">
        <f t="shared" si="4"/>
        <v>N/A</v>
      </c>
      <c r="Q33" s="114">
        <f t="shared" si="5"/>
        <v>0</v>
      </c>
      <c r="R33" s="114">
        <f t="shared" si="9"/>
        <v>0</v>
      </c>
      <c r="S33" s="114">
        <f t="shared" si="6"/>
        <v>0</v>
      </c>
      <c r="T33" s="114">
        <f t="shared" si="7"/>
        <v>0</v>
      </c>
      <c r="U33" s="114">
        <f t="shared" si="10"/>
        <v>3</v>
      </c>
      <c r="V33" s="114">
        <f t="shared" si="8"/>
        <v>0</v>
      </c>
    </row>
    <row r="34" spans="1:22" ht="56" x14ac:dyDescent="0.3">
      <c r="A34" s="10" t="str">
        <f>Questions!$A34</f>
        <v>ITAC-03</v>
      </c>
      <c r="B34" s="10" t="str">
        <f t="shared" si="0"/>
        <v>ITAC</v>
      </c>
      <c r="C34" s="10" t="str">
        <f>VLOOKUP($A34,Questions!$A$3:$L$333,2,0)&amp;""</f>
        <v>Solution Provider Accessibility Contact Email</v>
      </c>
      <c r="D34" s="10" t="str">
        <f>VLOOKUP($A34,Questions!$A$3:$L$333,11,0)&amp;""</f>
        <v>NA</v>
      </c>
      <c r="E34" s="10" t="str">
        <f>VLOOKUP($A34,Questions!$A$3:$L$333,12,0)&amp;""</f>
        <v>Not Scored</v>
      </c>
      <c r="F34" s="10" t="str">
        <f>VLOOKUP($A34,'Institution Evaluation'!$A$56:$K$346,3,0)&amp;""</f>
        <v>mark.rank@cirrusidentity.com</v>
      </c>
      <c r="G34" s="10" t="str">
        <f>VLOOKUP($A34,'Institution Evaluation'!$A$56:$K$346,7,0)&amp;""</f>
        <v>Not scored</v>
      </c>
      <c r="H34" s="10" t="str">
        <f>VLOOKUP($A34,'Institution Evaluation'!$A$56:$K$346,8,0)&amp;""</f>
        <v/>
      </c>
      <c r="I34" s="10" t="str">
        <f>VLOOKUP($A34,'Institution Evaluation'!$A$56:$K$346,9,0)&amp;""</f>
        <v/>
      </c>
      <c r="J34" s="10" t="str">
        <f>VLOOKUP($A34,'Institution Evaluation'!$A$56:$K$346,10,0)&amp;""</f>
        <v/>
      </c>
      <c r="K34" s="10">
        <f t="shared" si="1"/>
        <v>10</v>
      </c>
      <c r="L34" s="114" t="str">
        <f>IF($E34="Not Scored", "N/A",IF(AND($D34='Auto Responses'!$J$27,$H34=""),"N/A",IF(AND($D34='Auto Responses'!$J$27,$H34='Auto Responses'!$J$7),1,IF(AND($D34='Auto Responses'!$J$27,$H34='Auto Responses'!$J$8),0,IF(OR($F34=$G34,$H34='Auto Responses'!$J$7),1,0)))))</f>
        <v>N/A</v>
      </c>
      <c r="M34" s="10" t="str">
        <f>VLOOKUP($A34,'Institution Evaluation'!$A$56:$K$346,10,0)&amp;""</f>
        <v/>
      </c>
      <c r="N34" s="10">
        <f t="shared" si="2"/>
        <v>0</v>
      </c>
      <c r="O34" s="114" t="str">
        <f t="shared" si="11"/>
        <v>N/A</v>
      </c>
      <c r="P34" s="114" t="str">
        <f t="shared" si="4"/>
        <v>N/A</v>
      </c>
      <c r="Q34" s="114">
        <f t="shared" si="5"/>
        <v>0</v>
      </c>
      <c r="R34" s="114">
        <f t="shared" si="9"/>
        <v>0</v>
      </c>
      <c r="S34" s="114">
        <f t="shared" si="6"/>
        <v>0</v>
      </c>
      <c r="T34" s="114">
        <f t="shared" si="7"/>
        <v>0</v>
      </c>
      <c r="U34" s="114">
        <f t="shared" si="10"/>
        <v>3</v>
      </c>
      <c r="V34" s="114">
        <f t="shared" si="8"/>
        <v>0</v>
      </c>
    </row>
    <row r="35" spans="1:22" ht="56" x14ac:dyDescent="0.3">
      <c r="A35" s="10" t="str">
        <f>Questions!$A35</f>
        <v>ITAC-04</v>
      </c>
      <c r="B35" s="10" t="str">
        <f t="shared" si="0"/>
        <v>ITAC</v>
      </c>
      <c r="C35" s="10" t="str">
        <f>VLOOKUP($A35,Questions!$A$3:$L$333,2,0)&amp;""</f>
        <v>Solution Provider Accessibility Contact Phone Number</v>
      </c>
      <c r="D35" s="10" t="str">
        <f>VLOOKUP($A35,Questions!$A$3:$L$333,11,0)&amp;""</f>
        <v>NA</v>
      </c>
      <c r="E35" s="10" t="str">
        <f>VLOOKUP($A35,Questions!$A$3:$L$333,12,0)&amp;""</f>
        <v>Not Scored</v>
      </c>
      <c r="F35" s="10" t="str">
        <f>VLOOKUP($A35,'Institution Evaluation'!$A$56:$K$346,3,0)&amp;""</f>
        <v>414-331-1476</v>
      </c>
      <c r="G35" s="10" t="str">
        <f>VLOOKUP($A35,'Institution Evaluation'!$A$56:$K$346,7,0)&amp;""</f>
        <v>Not scored</v>
      </c>
      <c r="H35" s="10" t="str">
        <f>VLOOKUP($A35,'Institution Evaluation'!$A$56:$K$346,8,0)&amp;""</f>
        <v/>
      </c>
      <c r="I35" s="10" t="str">
        <f>VLOOKUP($A35,'Institution Evaluation'!$A$56:$K$346,9,0)&amp;""</f>
        <v/>
      </c>
      <c r="J35" s="10" t="str">
        <f>VLOOKUP($A35,'Institution Evaluation'!$A$56:$K$346,10,0)&amp;""</f>
        <v/>
      </c>
      <c r="K35" s="10">
        <f t="shared" si="1"/>
        <v>10</v>
      </c>
      <c r="L35" s="114" t="str">
        <f>IF($E35="Not Scored", "N/A",IF(AND($D35='Auto Responses'!$J$27,$H35=""),"N/A",IF(AND($D35='Auto Responses'!$J$27,$H35='Auto Responses'!$J$7),1,IF(AND($D35='Auto Responses'!$J$27,$H35='Auto Responses'!$J$8),0,IF(OR($F35=$G35,$H35='Auto Responses'!$J$7),1,0)))))</f>
        <v>N/A</v>
      </c>
      <c r="M35" s="10" t="str">
        <f>VLOOKUP($A35,'Institution Evaluation'!$A$56:$K$346,10,0)&amp;""</f>
        <v/>
      </c>
      <c r="N35" s="10">
        <f t="shared" si="2"/>
        <v>0</v>
      </c>
      <c r="O35" s="114" t="str">
        <f t="shared" si="11"/>
        <v>N/A</v>
      </c>
      <c r="P35" s="114" t="str">
        <f t="shared" si="4"/>
        <v>N/A</v>
      </c>
      <c r="Q35" s="114">
        <f t="shared" si="5"/>
        <v>0</v>
      </c>
      <c r="R35" s="114">
        <f t="shared" si="9"/>
        <v>0</v>
      </c>
      <c r="S35" s="114">
        <f t="shared" si="6"/>
        <v>0</v>
      </c>
      <c r="T35" s="114">
        <f t="shared" si="7"/>
        <v>0</v>
      </c>
      <c r="U35" s="114">
        <f t="shared" si="10"/>
        <v>3</v>
      </c>
      <c r="V35" s="114">
        <f t="shared" si="8"/>
        <v>0</v>
      </c>
    </row>
    <row r="36" spans="1:22" ht="56" x14ac:dyDescent="0.3">
      <c r="A36" s="10" t="str">
        <f>Questions!$A36</f>
        <v>ITAC-05</v>
      </c>
      <c r="B36" s="10" t="str">
        <f t="shared" si="0"/>
        <v>ITAC</v>
      </c>
      <c r="C36" s="10" t="str">
        <f>VLOOKUP($A36,Questions!$A$3:$L$333,2,0)&amp;""</f>
        <v>Web Link to Accessibility Statement or VPAT</v>
      </c>
      <c r="D36" s="10" t="str">
        <f>VLOOKUP($A36,Questions!$A$3:$L$333,11,0)&amp;""</f>
        <v/>
      </c>
      <c r="E36" s="10" t="str">
        <f>VLOOKUP($A36,Questions!$A$3:$L$333,12,0)&amp;""</f>
        <v>Not Scored</v>
      </c>
      <c r="F36" s="10" t="str">
        <f>VLOOKUP($A36,'Institution Evaluation'!$A$56:$K$346,3,0)&amp;""</f>
        <v>https://www.cirrusidentity.com/resources/trust-and-compliance-center</v>
      </c>
      <c r="G36" s="10" t="str">
        <f>VLOOKUP($A36,'Institution Evaluation'!$A$56:$K$346,7,0)&amp;""</f>
        <v>Not scored</v>
      </c>
      <c r="H36" s="10" t="str">
        <f>VLOOKUP($A36,'Institution Evaluation'!$A$56:$K$346,8,0)&amp;""</f>
        <v/>
      </c>
      <c r="I36" s="10" t="str">
        <f>VLOOKUP($A36,'Institution Evaluation'!$A$56:$K$346,9,0)&amp;""</f>
        <v>Standard Importance</v>
      </c>
      <c r="J36" s="10" t="str">
        <f>VLOOKUP($A36,'Institution Evaluation'!$A$56:$K$346,10,0)&amp;""</f>
        <v/>
      </c>
      <c r="K36" s="10">
        <f t="shared" si="1"/>
        <v>10</v>
      </c>
      <c r="L36" s="114" t="str">
        <f>IF($E36="Not Scored", "N/A",IF(AND($D36='Auto Responses'!$J$27,$H36=""),"N/A",IF(AND($D36='Auto Responses'!$J$27,$H36='Auto Responses'!$J$7),1,IF(AND($D36='Auto Responses'!$J$27,$H36='Auto Responses'!$J$8),0,IF(OR($F36=$G36,$H36='Auto Responses'!$J$7),1,0)))))</f>
        <v>N/A</v>
      </c>
      <c r="M36" s="10" t="str">
        <f>VLOOKUP($A36,'Institution Evaluation'!$A$56:$K$346,10,0)&amp;""</f>
        <v/>
      </c>
      <c r="N36" s="10">
        <f t="shared" si="2"/>
        <v>0</v>
      </c>
      <c r="O36" s="114" t="str">
        <f t="shared" si="11"/>
        <v>N/A</v>
      </c>
      <c r="P36" s="114" t="str">
        <f t="shared" si="4"/>
        <v>N/A</v>
      </c>
      <c r="Q36" s="114">
        <f t="shared" si="5"/>
        <v>0</v>
      </c>
      <c r="R36" s="114">
        <f t="shared" si="9"/>
        <v>0</v>
      </c>
      <c r="S36" s="114">
        <f t="shared" si="6"/>
        <v>0</v>
      </c>
      <c r="T36" s="114">
        <f t="shared" si="7"/>
        <v>0</v>
      </c>
      <c r="U36" s="114">
        <f t="shared" si="10"/>
        <v>3</v>
      </c>
      <c r="V36" s="114">
        <f t="shared" si="8"/>
        <v>0</v>
      </c>
    </row>
    <row r="37" spans="1:22" ht="56" x14ac:dyDescent="0.3">
      <c r="A37" s="10" t="str">
        <f>Questions!$A37</f>
        <v>ITAC-06</v>
      </c>
      <c r="B37" s="10" t="str">
        <f t="shared" si="0"/>
        <v>ITAC</v>
      </c>
      <c r="C37" s="10" t="str">
        <f>VLOOKUP($A37,Questions!$A$3:$L$333,2,0)&amp;""</f>
        <v>Has a VPAT or ACR been created or updated for the solution and version under consideration within the past 12 months?*</v>
      </c>
      <c r="D37" s="10" t="str">
        <f>VLOOKUP($A37,Questions!$A$3:$L$333,11,0)&amp;""</f>
        <v/>
      </c>
      <c r="E37" s="10" t="str">
        <f>VLOOKUP($A37,Questions!$A$3:$L$333,12,0)&amp;""</f>
        <v>IT Accessibility</v>
      </c>
      <c r="F37" s="10" t="str">
        <f>VLOOKUP($A37,'Institution Evaluation'!$A$56:$K$346,3,0)&amp;""</f>
        <v>Yes</v>
      </c>
      <c r="G37" s="10" t="str">
        <f>VLOOKUP($A37,'Institution Evaluation'!$A$56:$K$346,7,0)&amp;""</f>
        <v>Yes</v>
      </c>
      <c r="H37" s="10" t="str">
        <f>VLOOKUP($A37,'Institution Evaluation'!$A$56:$K$346,8,0)&amp;""</f>
        <v/>
      </c>
      <c r="I37" s="10" t="str">
        <f>VLOOKUP($A37,'Institution Evaluation'!$A$56:$K$346,9,0)&amp;""</f>
        <v>Critical Importance</v>
      </c>
      <c r="J37" s="10" t="str">
        <f>VLOOKUP($A37,'Institution Evaluation'!$A$56:$K$346,10,0)&amp;""</f>
        <v/>
      </c>
      <c r="K37" s="10">
        <f t="shared" si="1"/>
        <v>20</v>
      </c>
      <c r="L37" s="114">
        <f>IF($E37="Not Scored", "N/A",IF(AND($D37='Auto Responses'!$J$27,$H37=""),"N/A",IF(AND($D37='Auto Responses'!$J$27,$H37='Auto Responses'!$J$7),1,IF(AND($D37='Auto Responses'!$J$27,$H37='Auto Responses'!$J$8),0,IF(OR($F37=$G37,$H37='Auto Responses'!$J$7),1,0)))))</f>
        <v>1</v>
      </c>
      <c r="M37" s="10" t="str">
        <f>VLOOKUP($A37,'Institution Evaluation'!$A$56:$K$346,10,0)&amp;""</f>
        <v/>
      </c>
      <c r="N37" s="10">
        <f t="shared" si="2"/>
        <v>1</v>
      </c>
      <c r="O37" s="114">
        <f t="shared" si="11"/>
        <v>20</v>
      </c>
      <c r="P37" s="114">
        <f t="shared" si="4"/>
        <v>20</v>
      </c>
      <c r="Q37" s="114">
        <f t="shared" si="5"/>
        <v>0</v>
      </c>
      <c r="R37" s="114">
        <f t="shared" si="9"/>
        <v>0</v>
      </c>
      <c r="S37" s="114">
        <f t="shared" si="6"/>
        <v>0</v>
      </c>
      <c r="T37" s="114">
        <f t="shared" si="7"/>
        <v>1</v>
      </c>
      <c r="U37" s="114">
        <f t="shared" si="10"/>
        <v>4</v>
      </c>
      <c r="V37" s="114">
        <f t="shared" si="8"/>
        <v>4</v>
      </c>
    </row>
    <row r="38" spans="1:22" ht="56" x14ac:dyDescent="0.3">
      <c r="A38" s="10" t="str">
        <f>Questions!$A38</f>
        <v>ITAC-07</v>
      </c>
      <c r="B38" s="10" t="str">
        <f t="shared" si="0"/>
        <v>ITAC</v>
      </c>
      <c r="C38" s="10" t="str">
        <f>VLOOKUP($A38,Questions!$A$3:$L$333,2,0)&amp;""</f>
        <v>Will your company agree to meet your stated accessibility standard or WCAG 2.1 AA as part of your contractual agreement for the solution?*</v>
      </c>
      <c r="D38" s="10" t="str">
        <f>VLOOKUP($A38,Questions!$A$3:$L$333,11,0)&amp;""</f>
        <v/>
      </c>
      <c r="E38" s="10" t="str">
        <f>VLOOKUP($A38,Questions!$A$3:$L$333,12,0)&amp;""</f>
        <v>IT Accessibility</v>
      </c>
      <c r="F38" s="10" t="str">
        <f>VLOOKUP($A38,'Institution Evaluation'!$A$56:$K$346,3,0)&amp;""</f>
        <v>Yes</v>
      </c>
      <c r="G38" s="10" t="str">
        <f>VLOOKUP($A38,'Institution Evaluation'!$A$56:$K$346,7,0)&amp;""</f>
        <v>Yes</v>
      </c>
      <c r="H38" s="10" t="str">
        <f>VLOOKUP($A38,'Institution Evaluation'!$A$56:$K$346,8,0)&amp;""</f>
        <v/>
      </c>
      <c r="I38" s="10" t="str">
        <f>VLOOKUP($A38,'Institution Evaluation'!$A$56:$K$346,9,0)&amp;""</f>
        <v>Critical Importance</v>
      </c>
      <c r="J38" s="10" t="str">
        <f>VLOOKUP($A38,'Institution Evaluation'!$A$56:$K$346,10,0)&amp;""</f>
        <v/>
      </c>
      <c r="K38" s="10">
        <f t="shared" si="1"/>
        <v>20</v>
      </c>
      <c r="L38" s="114">
        <f>IF($E38="Not Scored", "N/A",IF(AND($D38='Auto Responses'!$J$27,$H38=""),"N/A",IF(AND($D38='Auto Responses'!$J$27,$H38='Auto Responses'!$J$7),1,IF(AND($D38='Auto Responses'!$J$27,$H38='Auto Responses'!$J$8),0,IF(OR($F38=$G38,$H38='Auto Responses'!$J$7),1,0)))))</f>
        <v>1</v>
      </c>
      <c r="M38" s="10" t="str">
        <f>VLOOKUP($A38,'Institution Evaluation'!$A$56:$K$346,10,0)&amp;""</f>
        <v/>
      </c>
      <c r="N38" s="10">
        <f t="shared" si="2"/>
        <v>1</v>
      </c>
      <c r="O38" s="114">
        <f t="shared" si="11"/>
        <v>20</v>
      </c>
      <c r="P38" s="114">
        <f t="shared" si="4"/>
        <v>20</v>
      </c>
      <c r="Q38" s="114">
        <f t="shared" si="5"/>
        <v>0</v>
      </c>
      <c r="R38" s="114">
        <f t="shared" si="9"/>
        <v>0</v>
      </c>
      <c r="S38" s="114">
        <f t="shared" si="6"/>
        <v>0</v>
      </c>
      <c r="T38" s="114">
        <f t="shared" si="7"/>
        <v>1</v>
      </c>
      <c r="U38" s="114">
        <f t="shared" si="10"/>
        <v>5</v>
      </c>
      <c r="V38" s="114">
        <f t="shared" si="8"/>
        <v>5</v>
      </c>
    </row>
    <row r="39" spans="1:22" ht="56" x14ac:dyDescent="0.3">
      <c r="A39" s="10" t="str">
        <f>Questions!$A39</f>
        <v>ITAC-08</v>
      </c>
      <c r="B39" s="10" t="str">
        <f t="shared" si="0"/>
        <v>ITAC</v>
      </c>
      <c r="C39" s="10" t="str">
        <f>VLOOKUP($A39,Questions!$A$3:$L$333,2,0)&amp;""</f>
        <v>Does the solution substantially conform to WCAG 2.1 AA?*</v>
      </c>
      <c r="D39" s="10" t="str">
        <f>VLOOKUP($A39,Questions!$A$3:$L$333,11,0)&amp;""</f>
        <v/>
      </c>
      <c r="E39" s="10" t="str">
        <f>VLOOKUP($A39,Questions!$A$3:$L$333,12,0)&amp;""</f>
        <v>IT Accessibility</v>
      </c>
      <c r="F39" s="10" t="str">
        <f>VLOOKUP($A39,'Institution Evaluation'!$A$56:$K$346,3,0)&amp;""</f>
        <v>Yes</v>
      </c>
      <c r="G39" s="10" t="str">
        <f>VLOOKUP($A39,'Institution Evaluation'!$A$56:$K$346,7,0)&amp;""</f>
        <v>Yes</v>
      </c>
      <c r="H39" s="10" t="str">
        <f>VLOOKUP($A39,'Institution Evaluation'!$A$56:$K$346,8,0)&amp;""</f>
        <v/>
      </c>
      <c r="I39" s="10" t="str">
        <f>VLOOKUP($A39,'Institution Evaluation'!$A$56:$K$346,9,0)&amp;""</f>
        <v>Critical Importance</v>
      </c>
      <c r="J39" s="10" t="str">
        <f>VLOOKUP($A39,'Institution Evaluation'!$A$56:$K$346,10,0)&amp;""</f>
        <v/>
      </c>
      <c r="K39" s="10">
        <f t="shared" si="1"/>
        <v>20</v>
      </c>
      <c r="L39" s="114">
        <f>IF($E39="Not Scored", "N/A",IF(AND($D39='Auto Responses'!$J$27,$H39=""),"N/A",IF(AND($D39='Auto Responses'!$J$27,$H39='Auto Responses'!$J$7),1,IF(AND($D39='Auto Responses'!$J$27,$H39='Auto Responses'!$J$8),0,IF(OR($F39=$G39,$H39='Auto Responses'!$J$7),1,0)))))</f>
        <v>1</v>
      </c>
      <c r="M39" s="10" t="str">
        <f>VLOOKUP($A39,'Institution Evaluation'!$A$56:$K$346,10,0)&amp;""</f>
        <v/>
      </c>
      <c r="N39" s="10">
        <f t="shared" si="2"/>
        <v>1</v>
      </c>
      <c r="O39" s="114">
        <f t="shared" si="11"/>
        <v>20</v>
      </c>
      <c r="P39" s="114">
        <f t="shared" si="4"/>
        <v>20</v>
      </c>
      <c r="Q39" s="114">
        <f t="shared" si="5"/>
        <v>0</v>
      </c>
      <c r="R39" s="114">
        <f t="shared" si="9"/>
        <v>0</v>
      </c>
      <c r="S39" s="114">
        <f t="shared" si="6"/>
        <v>0</v>
      </c>
      <c r="T39" s="114">
        <f t="shared" si="7"/>
        <v>1</v>
      </c>
      <c r="U39" s="114">
        <f t="shared" si="10"/>
        <v>6</v>
      </c>
      <c r="V39" s="114">
        <f t="shared" si="8"/>
        <v>6</v>
      </c>
    </row>
    <row r="40" spans="1:22" ht="56" x14ac:dyDescent="0.3">
      <c r="A40" s="10" t="str">
        <f>Questions!$A40</f>
        <v>ITAC-09</v>
      </c>
      <c r="B40" s="10" t="str">
        <f t="shared" si="0"/>
        <v>ITAC</v>
      </c>
      <c r="C40" s="10" t="str">
        <f>VLOOKUP($A40,Questions!$A$3:$L$333,2,0)&amp;""</f>
        <v>Do you have a documented and implemented process for reporting and tracking accessibility issues?*</v>
      </c>
      <c r="D40" s="10" t="str">
        <f>VLOOKUP($A40,Questions!$A$3:$L$333,11,0)&amp;""</f>
        <v/>
      </c>
      <c r="E40" s="10" t="str">
        <f>VLOOKUP($A40,Questions!$A$3:$L$333,12,0)&amp;""</f>
        <v>IT Accessibility</v>
      </c>
      <c r="F40" s="10" t="str">
        <f>VLOOKUP($A40,'Institution Evaluation'!$A$56:$K$346,3,0)&amp;""</f>
        <v>Yes</v>
      </c>
      <c r="G40" s="10" t="str">
        <f>VLOOKUP($A40,'Institution Evaluation'!$A$56:$K$346,7,0)&amp;""</f>
        <v>Yes</v>
      </c>
      <c r="H40" s="10" t="str">
        <f>VLOOKUP($A40,'Institution Evaluation'!$A$56:$K$346,8,0)&amp;""</f>
        <v/>
      </c>
      <c r="I40" s="10" t="str">
        <f>VLOOKUP($A40,'Institution Evaluation'!$A$56:$K$346,9,0)&amp;""</f>
        <v>Critical Importance</v>
      </c>
      <c r="J40" s="10" t="str">
        <f>VLOOKUP($A40,'Institution Evaluation'!$A$56:$K$346,10,0)&amp;""</f>
        <v/>
      </c>
      <c r="K40" s="10">
        <f t="shared" si="1"/>
        <v>20</v>
      </c>
      <c r="L40" s="114">
        <f>IF($E40="Not Scored", "N/A",IF(AND($D40='Auto Responses'!$J$27,$H40=""),"N/A",IF(AND($D40='Auto Responses'!$J$27,$H40='Auto Responses'!$J$7),1,IF(AND($D40='Auto Responses'!$J$27,$H40='Auto Responses'!$J$8),0,IF(OR($F40=$G40,$H40='Auto Responses'!$J$7),1,0)))))</f>
        <v>1</v>
      </c>
      <c r="M40" s="10" t="str">
        <f>VLOOKUP($A40,'Institution Evaluation'!$A$56:$K$346,10,0)&amp;""</f>
        <v/>
      </c>
      <c r="N40" s="10">
        <f t="shared" si="2"/>
        <v>1</v>
      </c>
      <c r="O40" s="114">
        <f t="shared" si="11"/>
        <v>20</v>
      </c>
      <c r="P40" s="114">
        <f t="shared" si="4"/>
        <v>20</v>
      </c>
      <c r="Q40" s="114">
        <f t="shared" si="5"/>
        <v>0</v>
      </c>
      <c r="R40" s="114">
        <f t="shared" si="9"/>
        <v>0</v>
      </c>
      <c r="S40" s="114">
        <f t="shared" si="6"/>
        <v>0</v>
      </c>
      <c r="T40" s="114">
        <f t="shared" si="7"/>
        <v>1</v>
      </c>
      <c r="U40" s="114">
        <f t="shared" si="10"/>
        <v>7</v>
      </c>
      <c r="V40" s="114">
        <f t="shared" si="8"/>
        <v>7</v>
      </c>
    </row>
    <row r="41" spans="1:22" ht="56" x14ac:dyDescent="0.3">
      <c r="A41" s="10" t="str">
        <f>Questions!$A41</f>
        <v>ITAC-10</v>
      </c>
      <c r="B41" s="10" t="str">
        <f t="shared" si="0"/>
        <v>ITAC</v>
      </c>
      <c r="C41" s="10" t="str">
        <f>VLOOKUP($A41,Questions!$A$3:$L$333,2,0)&amp;""</f>
        <v>Do you have documentation to support the accessibility features of your solution?</v>
      </c>
      <c r="D41" s="10" t="str">
        <f>VLOOKUP($A41,Questions!$A$3:$L$333,11,0)&amp;""</f>
        <v/>
      </c>
      <c r="E41" s="10" t="str">
        <f>VLOOKUP($A41,Questions!$A$3:$L$333,12,0)&amp;""</f>
        <v>IT Accessibility</v>
      </c>
      <c r="F41" s="10" t="str">
        <f>VLOOKUP($A41,'Institution Evaluation'!$A$56:$K$346,3,0)&amp;""</f>
        <v>Yes</v>
      </c>
      <c r="G41" s="10" t="str">
        <f>VLOOKUP($A41,'Institution Evaluation'!$A$56:$K$346,7,0)&amp;""</f>
        <v>Yes</v>
      </c>
      <c r="H41" s="10" t="str">
        <f>VLOOKUP($A41,'Institution Evaluation'!$A$56:$K$346,8,0)&amp;""</f>
        <v/>
      </c>
      <c r="I41" s="10" t="str">
        <f>VLOOKUP($A41,'Institution Evaluation'!$A$56:$K$346,9,0)&amp;""</f>
        <v>Standard Importance</v>
      </c>
      <c r="J41" s="10" t="str">
        <f>VLOOKUP($A41,'Institution Evaluation'!$A$56:$K$346,10,0)&amp;""</f>
        <v/>
      </c>
      <c r="K41" s="10">
        <f t="shared" si="1"/>
        <v>10</v>
      </c>
      <c r="L41" s="114">
        <f>IF($E41="Not Scored", "N/A",IF(AND($D41='Auto Responses'!$J$27,$H41=""),"N/A",IF(AND($D41='Auto Responses'!$J$27,$H41='Auto Responses'!$J$7),1,IF(AND($D41='Auto Responses'!$J$27,$H41='Auto Responses'!$J$8),0,IF(OR($F41=$G41,$H41='Auto Responses'!$J$7),1,0)))))</f>
        <v>1</v>
      </c>
      <c r="M41" s="10" t="str">
        <f>VLOOKUP($A41,'Institution Evaluation'!$A$56:$K$346,10,0)&amp;""</f>
        <v/>
      </c>
      <c r="N41" s="10">
        <f t="shared" si="2"/>
        <v>0</v>
      </c>
      <c r="O41" s="114">
        <f t="shared" si="11"/>
        <v>10</v>
      </c>
      <c r="P41" s="114">
        <f t="shared" si="4"/>
        <v>10</v>
      </c>
      <c r="Q41" s="114">
        <f t="shared" si="5"/>
        <v>0</v>
      </c>
      <c r="R41" s="114">
        <f t="shared" si="9"/>
        <v>0</v>
      </c>
      <c r="S41" s="114">
        <f t="shared" si="6"/>
        <v>0</v>
      </c>
      <c r="T41" s="114">
        <f t="shared" si="7"/>
        <v>0</v>
      </c>
      <c r="U41" s="114">
        <f t="shared" si="10"/>
        <v>7</v>
      </c>
      <c r="V41" s="114">
        <f t="shared" si="8"/>
        <v>0</v>
      </c>
    </row>
    <row r="42" spans="1:22" ht="56" x14ac:dyDescent="0.3">
      <c r="A42" s="10" t="str">
        <f>Questions!$A42</f>
        <v>ITAC-11</v>
      </c>
      <c r="B42" s="10" t="str">
        <f t="shared" si="0"/>
        <v>ITAC</v>
      </c>
      <c r="C42" s="10" t="str">
        <f>VLOOKUP($A42,Questions!$A$3:$L$333,2,0)&amp;""</f>
        <v>Has a third-party expert conducted an audit of the most recent version of your solution?</v>
      </c>
      <c r="D42" s="10"/>
      <c r="E42" s="10" t="str">
        <f>VLOOKUP($A42,Questions!$A$3:$L$333,12,0)&amp;""</f>
        <v>IT Accessibility</v>
      </c>
      <c r="F42" s="10" t="str">
        <f>VLOOKUP($A42,'Institution Evaluation'!$A$56:$K$346,3,0)&amp;""</f>
        <v>No</v>
      </c>
      <c r="G42" s="10" t="str">
        <f>VLOOKUP($A42,'Institution Evaluation'!$A$56:$K$346,7,0)&amp;""</f>
        <v>Yes</v>
      </c>
      <c r="H42" s="10" t="str">
        <f>VLOOKUP($A42,'Institution Evaluation'!$A$56:$K$346,8,0)&amp;""</f>
        <v/>
      </c>
      <c r="I42" s="10" t="str">
        <f>VLOOKUP($A42,'Institution Evaluation'!$A$56:$K$346,9,0)&amp;""</f>
        <v>Standard Importance</v>
      </c>
      <c r="J42" s="10" t="str">
        <f>VLOOKUP($A42,'Institution Evaluation'!$A$56:$K$346,10,0)&amp;""</f>
        <v/>
      </c>
      <c r="K42" s="10">
        <f t="shared" si="1"/>
        <v>10</v>
      </c>
      <c r="L42" s="114">
        <f>IF($E42="Not Scored", "N/A",IF(AND($D42='Auto Responses'!$J$27,$H42=""),"N/A",IF(AND($D42='Auto Responses'!$J$27,$H42='Auto Responses'!$J$7),1,IF(AND($D42='Auto Responses'!$J$27,$H42='Auto Responses'!$J$8),0,IF(OR($F42=$G42,$H42='Auto Responses'!$J$7),1,0)))))</f>
        <v>0</v>
      </c>
      <c r="M42" s="10" t="str">
        <f>VLOOKUP($A42,'Institution Evaluation'!$A$56:$K$346,10,0)&amp;""</f>
        <v/>
      </c>
      <c r="N42" s="10">
        <f t="shared" si="2"/>
        <v>0</v>
      </c>
      <c r="O42" s="114">
        <f t="shared" si="11"/>
        <v>10</v>
      </c>
      <c r="P42" s="114">
        <f t="shared" si="4"/>
        <v>0</v>
      </c>
      <c r="Q42" s="114">
        <f t="shared" si="5"/>
        <v>0</v>
      </c>
      <c r="R42" s="114">
        <f t="shared" si="9"/>
        <v>0</v>
      </c>
      <c r="S42" s="114">
        <f t="shared" si="6"/>
        <v>0</v>
      </c>
      <c r="T42" s="114">
        <f t="shared" si="7"/>
        <v>0</v>
      </c>
      <c r="U42" s="114">
        <f t="shared" si="10"/>
        <v>7</v>
      </c>
      <c r="V42" s="114">
        <f t="shared" si="8"/>
        <v>0</v>
      </c>
    </row>
    <row r="43" spans="1:22" ht="56" x14ac:dyDescent="0.3">
      <c r="A43" s="10" t="str">
        <f>Questions!$A43</f>
        <v>ITAC-12</v>
      </c>
      <c r="B43" s="10" t="str">
        <f t="shared" si="0"/>
        <v>ITAC</v>
      </c>
      <c r="C43" s="10" t="str">
        <f>VLOOKUP($A43,Questions!$A$3:$L$333,2,0)&amp;""</f>
        <v>Do you have a documented and implemented process for verifying accessibility conformance?</v>
      </c>
      <c r="D43" s="10" t="str">
        <f>VLOOKUP($A43,Questions!$A$3:$L$333,11,0)&amp;""</f>
        <v/>
      </c>
      <c r="E43" s="10" t="str">
        <f>VLOOKUP($A43,Questions!$A$3:$L$333,12,0)&amp;""</f>
        <v>IT Accessibility</v>
      </c>
      <c r="F43" s="10" t="str">
        <f>VLOOKUP($A43,'Institution Evaluation'!$A$56:$K$346,3,0)&amp;""</f>
        <v>Yes</v>
      </c>
      <c r="G43" s="10" t="str">
        <f>VLOOKUP($A43,'Institution Evaluation'!$A$56:$K$346,7,0)&amp;""</f>
        <v>Yes</v>
      </c>
      <c r="H43" s="10" t="str">
        <f>VLOOKUP($A43,'Institution Evaluation'!$A$56:$K$346,8,0)&amp;""</f>
        <v/>
      </c>
      <c r="I43" s="10" t="str">
        <f>VLOOKUP($A43,'Institution Evaluation'!$A$56:$K$346,9,0)&amp;""</f>
        <v>Standard Importance</v>
      </c>
      <c r="J43" s="10" t="str">
        <f>VLOOKUP($A43,'Institution Evaluation'!$A$56:$K$346,10,0)&amp;""</f>
        <v/>
      </c>
      <c r="K43" s="10">
        <f t="shared" si="1"/>
        <v>10</v>
      </c>
      <c r="L43" s="114">
        <f>IF($E43="Not Scored", "N/A",IF(AND($D43='Auto Responses'!$J$27,$H43=""),"N/A",IF(AND($D43='Auto Responses'!$J$27,$H43='Auto Responses'!$J$7),1,IF(AND($D43='Auto Responses'!$J$27,$H43='Auto Responses'!$J$8),0,IF(OR($F43=$G43,$H43='Auto Responses'!$J$7),1,0)))))</f>
        <v>1</v>
      </c>
      <c r="M43" s="10" t="str">
        <f>VLOOKUP($A43,'Institution Evaluation'!$A$56:$K$346,10,0)&amp;""</f>
        <v/>
      </c>
      <c r="N43" s="10">
        <f t="shared" si="2"/>
        <v>0</v>
      </c>
      <c r="O43" s="114">
        <f t="shared" si="11"/>
        <v>10</v>
      </c>
      <c r="P43" s="114">
        <f t="shared" si="4"/>
        <v>10</v>
      </c>
      <c r="Q43" s="114">
        <f t="shared" si="5"/>
        <v>0</v>
      </c>
      <c r="R43" s="114">
        <f t="shared" si="9"/>
        <v>0</v>
      </c>
      <c r="S43" s="114">
        <f t="shared" si="6"/>
        <v>0</v>
      </c>
      <c r="T43" s="114">
        <f t="shared" si="7"/>
        <v>0</v>
      </c>
      <c r="U43" s="114">
        <f t="shared" si="10"/>
        <v>7</v>
      </c>
      <c r="V43" s="114">
        <f t="shared" si="8"/>
        <v>0</v>
      </c>
    </row>
    <row r="44" spans="1:22" ht="56" x14ac:dyDescent="0.3">
      <c r="A44" s="10" t="str">
        <f>Questions!$A44</f>
        <v>ITAC-13</v>
      </c>
      <c r="B44" s="10" t="str">
        <f t="shared" si="0"/>
        <v>ITAC</v>
      </c>
      <c r="C44" s="10" t="str">
        <f>VLOOKUP($A44,Questions!$A$3:$L$333,2,0)&amp;""</f>
        <v>Have you adopted a technical or legal standard of conformance for the solution?</v>
      </c>
      <c r="D44" s="10" t="str">
        <f>VLOOKUP($A44,Questions!$A$3:$L$333,11,0)&amp;""</f>
        <v/>
      </c>
      <c r="E44" s="10" t="str">
        <f>VLOOKUP($A44,Questions!$A$3:$L$333,12,0)&amp;""</f>
        <v>IT Accessibility</v>
      </c>
      <c r="F44" s="10" t="str">
        <f>VLOOKUP($A44,'Institution Evaluation'!$A$56:$K$346,3,0)&amp;""</f>
        <v>Yes</v>
      </c>
      <c r="G44" s="10" t="str">
        <f>VLOOKUP($A44,'Institution Evaluation'!$A$56:$K$346,7,0)&amp;""</f>
        <v>Yes</v>
      </c>
      <c r="H44" s="10" t="str">
        <f>VLOOKUP($A44,'Institution Evaluation'!$A$56:$K$346,8,0)&amp;""</f>
        <v/>
      </c>
      <c r="I44" s="10" t="str">
        <f>VLOOKUP($A44,'Institution Evaluation'!$A$56:$K$346,9,0)&amp;""</f>
        <v>Standard Importance</v>
      </c>
      <c r="J44" s="10" t="str">
        <f>VLOOKUP($A44,'Institution Evaluation'!$A$56:$K$346,10,0)&amp;""</f>
        <v/>
      </c>
      <c r="K44" s="10">
        <f t="shared" si="1"/>
        <v>10</v>
      </c>
      <c r="L44" s="114">
        <f>IF($E44="Not Scored", "N/A",IF(AND($D44='Auto Responses'!$J$27,$H44=""),"N/A",IF(AND($D44='Auto Responses'!$J$27,$H44='Auto Responses'!$J$7),1,IF(AND($D44='Auto Responses'!$J$27,$H44='Auto Responses'!$J$8),0,IF(OR($F44=$G44,$H44='Auto Responses'!$J$7),1,0)))))</f>
        <v>1</v>
      </c>
      <c r="M44" s="10" t="str">
        <f>VLOOKUP($A44,'Institution Evaluation'!$A$56:$K$346,10,0)&amp;""</f>
        <v/>
      </c>
      <c r="N44" s="10">
        <f t="shared" si="2"/>
        <v>0</v>
      </c>
      <c r="O44" s="114">
        <f t="shared" si="11"/>
        <v>10</v>
      </c>
      <c r="P44" s="114">
        <f t="shared" si="4"/>
        <v>10</v>
      </c>
      <c r="Q44" s="114">
        <f t="shared" si="5"/>
        <v>0</v>
      </c>
      <c r="R44" s="114">
        <f t="shared" si="9"/>
        <v>0</v>
      </c>
      <c r="S44" s="114">
        <f t="shared" si="6"/>
        <v>0</v>
      </c>
      <c r="T44" s="114">
        <f t="shared" si="7"/>
        <v>0</v>
      </c>
      <c r="U44" s="114">
        <f t="shared" si="10"/>
        <v>7</v>
      </c>
      <c r="V44" s="114">
        <f t="shared" si="8"/>
        <v>0</v>
      </c>
    </row>
    <row r="45" spans="1:22" ht="56" x14ac:dyDescent="0.3">
      <c r="A45" s="10" t="str">
        <f>Questions!$A45</f>
        <v>ITAC-14</v>
      </c>
      <c r="B45" s="10" t="str">
        <f t="shared" si="0"/>
        <v>ITAC</v>
      </c>
      <c r="C45" s="10" t="str">
        <f>VLOOKUP($A45,Questions!$A$3:$L$333,2,0)&amp;""</f>
        <v>Can you provide a current, detailed accessibility roadmap with delivery timelines?</v>
      </c>
      <c r="D45" s="10" t="str">
        <f>VLOOKUP($A45,Questions!$A$3:$L$333,11,0)&amp;""</f>
        <v/>
      </c>
      <c r="E45" s="10" t="str">
        <f>VLOOKUP($A45,Questions!$A$3:$L$333,12,0)&amp;""</f>
        <v>IT Accessibility</v>
      </c>
      <c r="F45" s="10" t="str">
        <f>VLOOKUP($A45,'Institution Evaluation'!$A$56:$K$346,3,0)&amp;""</f>
        <v>Yes</v>
      </c>
      <c r="G45" s="10" t="str">
        <f>VLOOKUP($A45,'Institution Evaluation'!$A$56:$K$346,7,0)&amp;""</f>
        <v>Yes</v>
      </c>
      <c r="H45" s="10" t="str">
        <f>VLOOKUP($A45,'Institution Evaluation'!$A$56:$K$346,8,0)&amp;""</f>
        <v/>
      </c>
      <c r="I45" s="10" t="str">
        <f>VLOOKUP($A45,'Institution Evaluation'!$A$56:$K$346,9,0)&amp;""</f>
        <v>Standard Importance</v>
      </c>
      <c r="J45" s="10" t="str">
        <f>VLOOKUP($A45,'Institution Evaluation'!$A$56:$K$346,10,0)&amp;""</f>
        <v/>
      </c>
      <c r="K45" s="10">
        <f t="shared" si="1"/>
        <v>10</v>
      </c>
      <c r="L45" s="114">
        <f>IF($E45="Not Scored", "N/A",IF(AND($D45='Auto Responses'!$J$27,$H45=""),"N/A",IF(AND($D45='Auto Responses'!$J$27,$H45='Auto Responses'!$J$7),1,IF(AND($D45='Auto Responses'!$J$27,$H45='Auto Responses'!$J$8),0,IF(OR($F45=$G45,$H45='Auto Responses'!$J$7),1,0)))))</f>
        <v>1</v>
      </c>
      <c r="M45" s="10" t="str">
        <f>VLOOKUP($A45,'Institution Evaluation'!$A$56:$K$346,10,0)&amp;""</f>
        <v/>
      </c>
      <c r="N45" s="10">
        <f t="shared" si="2"/>
        <v>0</v>
      </c>
      <c r="O45" s="114">
        <f t="shared" si="11"/>
        <v>10</v>
      </c>
      <c r="P45" s="114">
        <f t="shared" si="4"/>
        <v>10</v>
      </c>
      <c r="Q45" s="114">
        <f t="shared" si="5"/>
        <v>0</v>
      </c>
      <c r="R45" s="114">
        <f t="shared" si="9"/>
        <v>0</v>
      </c>
      <c r="S45" s="114">
        <f t="shared" si="6"/>
        <v>0</v>
      </c>
      <c r="T45" s="114">
        <f t="shared" si="7"/>
        <v>0</v>
      </c>
      <c r="U45" s="114">
        <f t="shared" si="10"/>
        <v>7</v>
      </c>
      <c r="V45" s="114">
        <f t="shared" si="8"/>
        <v>0</v>
      </c>
    </row>
    <row r="46" spans="1:22" ht="56" x14ac:dyDescent="0.3">
      <c r="A46" s="10" t="str">
        <f>Questions!$A46</f>
        <v>ITAC-15</v>
      </c>
      <c r="B46" s="10" t="str">
        <f t="shared" si="0"/>
        <v>ITAC</v>
      </c>
      <c r="C46" s="10" t="str">
        <f>VLOOKUP($A46,Questions!$A$3:$L$333,2,0)&amp;""</f>
        <v>Do you expect your staff to maintain a current skill set in IT accessibility?</v>
      </c>
      <c r="D46" s="10" t="str">
        <f>VLOOKUP($A46,Questions!$A$3:$L$333,11,0)&amp;""</f>
        <v/>
      </c>
      <c r="E46" s="10" t="str">
        <f>VLOOKUP($A46,Questions!$A$3:$L$333,12,0)&amp;""</f>
        <v>IT Accessibility</v>
      </c>
      <c r="F46" s="10" t="str">
        <f>VLOOKUP($A46,'Institution Evaluation'!$A$56:$K$346,3,0)&amp;""</f>
        <v>No</v>
      </c>
      <c r="G46" s="10" t="str">
        <f>VLOOKUP($A46,'Institution Evaluation'!$A$56:$K$346,7,0)&amp;""</f>
        <v>Yes</v>
      </c>
      <c r="H46" s="10" t="str">
        <f>VLOOKUP($A46,'Institution Evaluation'!$A$56:$K$346,8,0)&amp;""</f>
        <v/>
      </c>
      <c r="I46" s="10" t="str">
        <f>VLOOKUP($A46,'Institution Evaluation'!$A$56:$K$346,9,0)&amp;""</f>
        <v>Standard Importance</v>
      </c>
      <c r="J46" s="10" t="str">
        <f>VLOOKUP($A46,'Institution Evaluation'!$A$56:$K$346,10,0)&amp;""</f>
        <v/>
      </c>
      <c r="K46" s="10">
        <f t="shared" si="1"/>
        <v>10</v>
      </c>
      <c r="L46" s="114">
        <f>IF($E46="Not Scored", "N/A",IF(AND($D46='Auto Responses'!$J$27,$H46=""),"N/A",IF(AND($D46='Auto Responses'!$J$27,$H46='Auto Responses'!$J$7),1,IF(AND($D46='Auto Responses'!$J$27,$H46='Auto Responses'!$J$8),0,IF(OR($F46=$G46,$H46='Auto Responses'!$J$7),1,0)))))</f>
        <v>0</v>
      </c>
      <c r="M46" s="10" t="str">
        <f>VLOOKUP($A46,'Institution Evaluation'!$A$56:$K$346,10,0)&amp;""</f>
        <v/>
      </c>
      <c r="N46" s="10">
        <f t="shared" si="2"/>
        <v>0</v>
      </c>
      <c r="O46" s="114">
        <f t="shared" si="11"/>
        <v>10</v>
      </c>
      <c r="P46" s="114">
        <f t="shared" si="4"/>
        <v>0</v>
      </c>
      <c r="Q46" s="114">
        <f t="shared" si="5"/>
        <v>0</v>
      </c>
      <c r="R46" s="114">
        <f t="shared" si="9"/>
        <v>0</v>
      </c>
      <c r="S46" s="114">
        <f t="shared" si="6"/>
        <v>0</v>
      </c>
      <c r="T46" s="114">
        <f t="shared" si="7"/>
        <v>0</v>
      </c>
      <c r="U46" s="114">
        <f t="shared" si="10"/>
        <v>7</v>
      </c>
      <c r="V46" s="114">
        <f t="shared" si="8"/>
        <v>0</v>
      </c>
    </row>
    <row r="47" spans="1:22" ht="56" x14ac:dyDescent="0.3">
      <c r="A47" s="10" t="str">
        <f>Questions!$A47</f>
        <v>ITAC-16</v>
      </c>
      <c r="B47" s="10" t="str">
        <f t="shared" si="0"/>
        <v>ITAC</v>
      </c>
      <c r="C47" s="10" t="str">
        <f>VLOOKUP($A47,Questions!$A$3:$L$333,2,0)&amp;""</f>
        <v>Do you have documented processes and procedures for implementing accessibility into your development lifecycle?</v>
      </c>
      <c r="D47" s="10" t="str">
        <f>VLOOKUP($A47,Questions!$A$3:$L$333,11,0)&amp;""</f>
        <v/>
      </c>
      <c r="E47" s="10" t="str">
        <f>VLOOKUP($A47,Questions!$A$3:$L$333,12,0)&amp;""</f>
        <v>IT Accessibility</v>
      </c>
      <c r="F47" s="10" t="str">
        <f>VLOOKUP($A47,'Institution Evaluation'!$A$56:$K$346,3,0)&amp;""</f>
        <v>Yes</v>
      </c>
      <c r="G47" s="10" t="str">
        <f>VLOOKUP($A47,'Institution Evaluation'!$A$56:$K$346,7,0)&amp;""</f>
        <v>Yes</v>
      </c>
      <c r="H47" s="10" t="str">
        <f>VLOOKUP($A47,'Institution Evaluation'!$A$56:$K$346,8,0)&amp;""</f>
        <v/>
      </c>
      <c r="I47" s="10" t="str">
        <f>VLOOKUP($A47,'Institution Evaluation'!$A$56:$K$346,9,0)&amp;""</f>
        <v>Standard Importance</v>
      </c>
      <c r="J47" s="10" t="str">
        <f>VLOOKUP($A47,'Institution Evaluation'!$A$56:$K$346,10,0)&amp;""</f>
        <v/>
      </c>
      <c r="K47" s="10">
        <f t="shared" si="1"/>
        <v>10</v>
      </c>
      <c r="L47" s="114">
        <f>IF($E47="Not Scored", "N/A",IF(AND($D47='Auto Responses'!$J$27,$H47=""),"N/A",IF(AND($D47='Auto Responses'!$J$27,$H47='Auto Responses'!$J$7),1,IF(AND($D47='Auto Responses'!$J$27,$H47='Auto Responses'!$J$8),0,IF(OR($F47=$G47,$H47='Auto Responses'!$J$7),1,0)))))</f>
        <v>1</v>
      </c>
      <c r="M47" s="10" t="str">
        <f>VLOOKUP($A47,'Institution Evaluation'!$A$56:$K$346,10,0)&amp;""</f>
        <v/>
      </c>
      <c r="N47" s="10">
        <f t="shared" si="2"/>
        <v>0</v>
      </c>
      <c r="O47" s="114">
        <f t="shared" si="11"/>
        <v>10</v>
      </c>
      <c r="P47" s="114">
        <f t="shared" si="4"/>
        <v>10</v>
      </c>
      <c r="Q47" s="114">
        <f t="shared" si="5"/>
        <v>0</v>
      </c>
      <c r="R47" s="114">
        <f t="shared" si="9"/>
        <v>0</v>
      </c>
      <c r="S47" s="114">
        <f t="shared" si="6"/>
        <v>0</v>
      </c>
      <c r="T47" s="114">
        <f t="shared" si="7"/>
        <v>0</v>
      </c>
      <c r="U47" s="114">
        <f t="shared" si="10"/>
        <v>7</v>
      </c>
      <c r="V47" s="114">
        <f t="shared" si="8"/>
        <v>0</v>
      </c>
    </row>
    <row r="48" spans="1:22" ht="56" x14ac:dyDescent="0.3">
      <c r="A48" s="10" t="str">
        <f>Questions!$A48</f>
        <v>ITAC-17</v>
      </c>
      <c r="B48" s="10" t="str">
        <f t="shared" si="0"/>
        <v>ITAC</v>
      </c>
      <c r="C48" s="10" t="str">
        <f>VLOOKUP($A48,Questions!$A$3:$L$333,2,0)&amp;""</f>
        <v>Can all functions of the application or service be performed using only the keyboard?</v>
      </c>
      <c r="D48" s="10" t="str">
        <f>VLOOKUP($A48,Questions!$A$3:$L$333,11,0)&amp;""</f>
        <v/>
      </c>
      <c r="E48" s="10" t="str">
        <f>VLOOKUP($A48,Questions!$A$3:$L$333,12,0)&amp;""</f>
        <v>IT Accessibility</v>
      </c>
      <c r="F48" s="10" t="str">
        <f>VLOOKUP($A48,'Institution Evaluation'!$A$56:$K$346,3,0)&amp;""</f>
        <v>Yes</v>
      </c>
      <c r="G48" s="10" t="str">
        <f>VLOOKUP($A48,'Institution Evaluation'!$A$56:$K$346,7,0)&amp;""</f>
        <v>Yes</v>
      </c>
      <c r="H48" s="10" t="str">
        <f>VLOOKUP($A48,'Institution Evaluation'!$A$56:$K$346,8,0)&amp;""</f>
        <v/>
      </c>
      <c r="I48" s="10" t="str">
        <f>VLOOKUP($A48,'Institution Evaluation'!$A$56:$K$346,9,0)&amp;""</f>
        <v>Standard Importance</v>
      </c>
      <c r="J48" s="10" t="str">
        <f>VLOOKUP($A48,'Institution Evaluation'!$A$56:$K$346,10,0)&amp;""</f>
        <v/>
      </c>
      <c r="K48" s="10">
        <f t="shared" si="1"/>
        <v>10</v>
      </c>
      <c r="L48" s="114">
        <f>IF($E48="Not Scored", "N/A",IF(AND($D48='Auto Responses'!$J$27,$H48=""),"N/A",IF(AND($D48='Auto Responses'!$J$27,$H48='Auto Responses'!$J$7),1,IF(AND($D48='Auto Responses'!$J$27,$H48='Auto Responses'!$J$8),0,IF(OR($F48=$G48,$H48='Auto Responses'!$J$7),1,0)))))</f>
        <v>1</v>
      </c>
      <c r="M48" s="10" t="str">
        <f>VLOOKUP($A48,'Institution Evaluation'!$A$56:$K$346,10,0)&amp;""</f>
        <v/>
      </c>
      <c r="N48" s="10">
        <f t="shared" si="2"/>
        <v>0</v>
      </c>
      <c r="O48" s="114">
        <f t="shared" si="11"/>
        <v>10</v>
      </c>
      <c r="P48" s="114">
        <f t="shared" si="4"/>
        <v>10</v>
      </c>
      <c r="Q48" s="114">
        <f t="shared" si="5"/>
        <v>0</v>
      </c>
      <c r="R48" s="114">
        <f t="shared" si="9"/>
        <v>0</v>
      </c>
      <c r="S48" s="114">
        <f t="shared" si="6"/>
        <v>0</v>
      </c>
      <c r="T48" s="114">
        <f t="shared" si="7"/>
        <v>0</v>
      </c>
      <c r="U48" s="114">
        <f t="shared" si="10"/>
        <v>7</v>
      </c>
      <c r="V48" s="114">
        <f t="shared" si="8"/>
        <v>0</v>
      </c>
    </row>
    <row r="49" spans="1:22" ht="56" x14ac:dyDescent="0.3">
      <c r="A49" s="10" t="str">
        <f>Questions!$A49</f>
        <v>ITAC-18</v>
      </c>
      <c r="B49" s="10" t="str">
        <f t="shared" si="0"/>
        <v>ITAC</v>
      </c>
      <c r="C49" s="10" t="str">
        <f>VLOOKUP($A49,Questions!$A$3:$L$333,2,0)&amp;""</f>
        <v>Does your product rely on activating a special "accessibility mode," a "lite version," or using an alternate interface (including “overlay” or AI-based alternates)  for accessibility purposes?</v>
      </c>
      <c r="D49" s="10" t="str">
        <f>VLOOKUP($A49,Questions!$A$3:$L$333,11,0)&amp;""</f>
        <v/>
      </c>
      <c r="E49" s="10" t="str">
        <f>VLOOKUP($A49,Questions!$A$3:$L$333,12,0)&amp;""</f>
        <v>IT Accessibility</v>
      </c>
      <c r="F49" s="10" t="str">
        <f>VLOOKUP($A49,'Institution Evaluation'!$A$56:$K$346,3,0)&amp;""</f>
        <v>No</v>
      </c>
      <c r="G49" s="10" t="str">
        <f>VLOOKUP($A49,'Institution Evaluation'!$A$56:$K$346,7,0)&amp;""</f>
        <v>No</v>
      </c>
      <c r="H49" s="10" t="str">
        <f>VLOOKUP($A49,'Institution Evaluation'!$A$56:$K$346,8,0)&amp;""</f>
        <v/>
      </c>
      <c r="I49" s="10" t="str">
        <f>VLOOKUP($A49,'Institution Evaluation'!$A$56:$K$346,9,0)&amp;""</f>
        <v>Standard Importance</v>
      </c>
      <c r="J49" s="10" t="str">
        <f>VLOOKUP($A49,'Institution Evaluation'!$A$56:$K$346,10,0)&amp;""</f>
        <v/>
      </c>
      <c r="K49" s="10">
        <f t="shared" si="1"/>
        <v>10</v>
      </c>
      <c r="L49" s="114">
        <f>IF($E49="Not Scored", "N/A",IF(AND($D49='Auto Responses'!$J$27,$H49=""),"N/A",IF(AND($D49='Auto Responses'!$J$27,$H49='Auto Responses'!$J$7),1,IF(AND($D49='Auto Responses'!$J$27,$H49='Auto Responses'!$J$8),0,IF(OR($F49=$G49,$H49='Auto Responses'!$J$7),1,0)))))</f>
        <v>1</v>
      </c>
      <c r="M49" s="10" t="str">
        <f>VLOOKUP($A49,'Institution Evaluation'!$A$56:$K$346,10,0)&amp;""</f>
        <v/>
      </c>
      <c r="N49" s="10">
        <f t="shared" si="2"/>
        <v>0</v>
      </c>
      <c r="O49" s="114">
        <f t="shared" si="11"/>
        <v>10</v>
      </c>
      <c r="P49" s="114">
        <f t="shared" si="4"/>
        <v>10</v>
      </c>
      <c r="Q49" s="114">
        <f t="shared" si="5"/>
        <v>0</v>
      </c>
      <c r="R49" s="114">
        <f t="shared" si="9"/>
        <v>0</v>
      </c>
      <c r="S49" s="114">
        <f t="shared" si="6"/>
        <v>0</v>
      </c>
      <c r="T49" s="114">
        <f t="shared" si="7"/>
        <v>0</v>
      </c>
      <c r="U49" s="114">
        <f t="shared" si="10"/>
        <v>7</v>
      </c>
      <c r="V49" s="114">
        <f t="shared" si="8"/>
        <v>0</v>
      </c>
    </row>
    <row r="50" spans="1:22" ht="56" x14ac:dyDescent="0.3">
      <c r="A50" s="10" t="str">
        <f>Questions!$A51</f>
        <v>THRD-02</v>
      </c>
      <c r="B50" s="10" t="str">
        <f t="shared" si="0"/>
        <v>THRD</v>
      </c>
      <c r="C50" s="10" t="str">
        <f>VLOOKUP($A50,Questions!$A$3:$L$333,2,0)&amp;""</f>
        <v>Do you have contractual language in place with third parties governing access to institutional data?*</v>
      </c>
      <c r="D50" s="10" t="str">
        <f>VLOOKUP($A50,Questions!$A$3:$L$333,11,0)&amp;""</f>
        <v/>
      </c>
      <c r="E50" s="10" t="str">
        <f>VLOOKUP($A50,Questions!$A$3:$L$333,12,0)&amp;""</f>
        <v>Organization</v>
      </c>
      <c r="F50" s="10" t="str">
        <f>VLOOKUP($A50,'Institution Evaluation'!$A$56:$K$346,3,0)&amp;""</f>
        <v>Yes</v>
      </c>
      <c r="G50" s="10" t="str">
        <f>VLOOKUP($A50,'Institution Evaluation'!$A$56:$K$346,7,0)&amp;""</f>
        <v>Yes</v>
      </c>
      <c r="H50" s="10" t="str">
        <f>VLOOKUP($A50,'Institution Evaluation'!$A$56:$K$346,8,0)&amp;""</f>
        <v/>
      </c>
      <c r="I50" s="10" t="str">
        <f>VLOOKUP($A50,'Institution Evaluation'!$A$56:$K$346,9,0)&amp;""</f>
        <v>Critical Importance</v>
      </c>
      <c r="J50" s="10" t="str">
        <f>VLOOKUP($A50,'Institution Evaluation'!$A$56:$K$346,10,0)&amp;""</f>
        <v/>
      </c>
      <c r="K50" s="10">
        <f t="shared" si="1"/>
        <v>20</v>
      </c>
      <c r="L50" s="114">
        <f>IF($E50="Not Scored", "N/A",IF(AND($D50='Auto Responses'!$J$27,$H50=""),"N/A",IF(AND($D50='Auto Responses'!$J$27,$H50='Auto Responses'!$J$7),1,IF(AND($D50='Auto Responses'!$J$27,$H50='Auto Responses'!$J$8),0,IF(OR($F50=$G50,$H50='Auto Responses'!$J$7),1,0)))))</f>
        <v>1</v>
      </c>
      <c r="M50" s="10" t="str">
        <f>VLOOKUP($A50,'Institution Evaluation'!$A$56:$K$346,10,0)&amp;""</f>
        <v/>
      </c>
      <c r="N50" s="10">
        <f t="shared" si="2"/>
        <v>1</v>
      </c>
      <c r="O50" s="114">
        <f t="shared" si="3"/>
        <v>20</v>
      </c>
      <c r="P50" s="114">
        <f t="shared" si="4"/>
        <v>20</v>
      </c>
      <c r="Q50" s="114">
        <f t="shared" si="5"/>
        <v>0</v>
      </c>
      <c r="R50" s="114">
        <f t="shared" si="9"/>
        <v>0</v>
      </c>
      <c r="S50" s="114">
        <f t="shared" si="6"/>
        <v>0</v>
      </c>
      <c r="T50" s="114">
        <f t="shared" si="7"/>
        <v>1</v>
      </c>
      <c r="U50" s="114">
        <f t="shared" si="10"/>
        <v>8</v>
      </c>
      <c r="V50" s="114">
        <f t="shared" si="8"/>
        <v>8</v>
      </c>
    </row>
    <row r="51" spans="1:22" ht="56" x14ac:dyDescent="0.3">
      <c r="A51" s="10" t="str">
        <f>Questions!$A50</f>
        <v>THRD-01</v>
      </c>
      <c r="B51" s="10" t="str">
        <f t="shared" si="0"/>
        <v>THRD</v>
      </c>
      <c r="C51" s="10" t="str">
        <f>VLOOKUP($A51,Questions!$A$3:$L$333,2,0)&amp;""</f>
        <v>Do you perform security assessments of third-party companies with which you share data (e.g., hosting providers, cloud services, PaaS, IaaS, SaaS)?*</v>
      </c>
      <c r="D51" s="10" t="str">
        <f>VLOOKUP($A51,Questions!$A$3:$L$333,11,0)&amp;""</f>
        <v/>
      </c>
      <c r="E51" s="10" t="str">
        <f>VLOOKUP($A51,Questions!$A$3:$L$333,12,0)&amp;""</f>
        <v>Organization</v>
      </c>
      <c r="F51" s="10" t="str">
        <f>VLOOKUP($A51,'Institution Evaluation'!$A$56:$K$346,3,0)&amp;""</f>
        <v>Yes</v>
      </c>
      <c r="G51" s="10" t="str">
        <f>VLOOKUP($A51,'Institution Evaluation'!$A$56:$K$346,7,0)&amp;""</f>
        <v>Yes</v>
      </c>
      <c r="H51" s="10" t="str">
        <f>VLOOKUP($A51,'Institution Evaluation'!$A$56:$K$346,8,0)&amp;""</f>
        <v/>
      </c>
      <c r="I51" s="10" t="str">
        <f>VLOOKUP($A51,'Institution Evaluation'!$A$56:$K$346,9,0)&amp;""</f>
        <v>Critical Importance</v>
      </c>
      <c r="J51" s="10" t="str">
        <f>VLOOKUP($A51,'Institution Evaluation'!$A$56:$K$346,10,0)&amp;""</f>
        <v/>
      </c>
      <c r="K51" s="10">
        <f t="shared" si="1"/>
        <v>20</v>
      </c>
      <c r="L51" s="114">
        <f>IF($E51="Not Scored", "N/A",IF(AND($D51='Auto Responses'!$J$27,$H51=""),"N/A",IF(AND($D51='Auto Responses'!$J$27,$H51='Auto Responses'!$J$7),1,IF(AND($D51='Auto Responses'!$J$27,$H51='Auto Responses'!$J$8),0,IF(OR($F51=$G51,$H51='Auto Responses'!$J$7),1,0)))))</f>
        <v>1</v>
      </c>
      <c r="M51" s="10" t="str">
        <f>VLOOKUP($A51,'Institution Evaluation'!$A$56:$K$346,10,0)&amp;""</f>
        <v/>
      </c>
      <c r="N51" s="10">
        <f t="shared" si="2"/>
        <v>1</v>
      </c>
      <c r="O51" s="114">
        <f t="shared" si="3"/>
        <v>20</v>
      </c>
      <c r="P51" s="114">
        <f t="shared" si="4"/>
        <v>20</v>
      </c>
      <c r="Q51" s="114">
        <f t="shared" si="5"/>
        <v>0</v>
      </c>
      <c r="R51" s="114">
        <f t="shared" si="9"/>
        <v>0</v>
      </c>
      <c r="S51" s="114">
        <f t="shared" si="6"/>
        <v>0</v>
      </c>
      <c r="T51" s="114">
        <f t="shared" si="7"/>
        <v>1</v>
      </c>
      <c r="U51" s="114">
        <f t="shared" si="10"/>
        <v>9</v>
      </c>
      <c r="V51" s="114">
        <f t="shared" si="8"/>
        <v>9</v>
      </c>
    </row>
    <row r="52" spans="1:22" ht="56" x14ac:dyDescent="0.3">
      <c r="A52" s="10" t="str">
        <f>Questions!$A52</f>
        <v>THRD-03</v>
      </c>
      <c r="B52" s="10" t="str">
        <f t="shared" si="0"/>
        <v>THRD</v>
      </c>
      <c r="C52" s="10" t="str">
        <f>VLOOKUP($A52,Questions!$A$3:$L$333,2,0)&amp;""</f>
        <v>Do the contracts in place with these third parties address liability in the event of a data breach?*</v>
      </c>
      <c r="D52" s="10" t="str">
        <f>VLOOKUP($A52,Questions!$A$3:$L$333,11,0)&amp;""</f>
        <v/>
      </c>
      <c r="E52" s="10" t="str">
        <f>VLOOKUP($A52,Questions!$A$3:$L$333,12,0)&amp;""</f>
        <v>Organization</v>
      </c>
      <c r="F52" s="10" t="str">
        <f>VLOOKUP($A52,'Institution Evaluation'!$A$56:$K$346,3,0)&amp;""</f>
        <v>Yes</v>
      </c>
      <c r="G52" s="10" t="str">
        <f>VLOOKUP($A52,'Institution Evaluation'!$A$56:$K$346,7,0)&amp;""</f>
        <v>Yes</v>
      </c>
      <c r="H52" s="10" t="str">
        <f>VLOOKUP($A52,'Institution Evaluation'!$A$56:$K$346,8,0)&amp;""</f>
        <v/>
      </c>
      <c r="I52" s="10" t="str">
        <f>VLOOKUP($A52,'Institution Evaluation'!$A$56:$K$346,9,0)&amp;""</f>
        <v>Critical Importance</v>
      </c>
      <c r="J52" s="10" t="str">
        <f>VLOOKUP($A52,'Institution Evaluation'!$A$56:$K$346,10,0)&amp;""</f>
        <v/>
      </c>
      <c r="K52" s="10">
        <f t="shared" si="1"/>
        <v>20</v>
      </c>
      <c r="L52" s="114">
        <f>IF($E52="Not Scored", "N/A",IF(AND($D52='Auto Responses'!$J$27,$H52=""),"N/A",IF(AND($D52='Auto Responses'!$J$27,$H52='Auto Responses'!$J$7),1,IF(AND($D52='Auto Responses'!$J$27,$H52='Auto Responses'!$J$8),0,IF(OR($F52=$G52,$H52='Auto Responses'!$J$7),1,0)))))</f>
        <v>1</v>
      </c>
      <c r="M52" s="10" t="str">
        <f>VLOOKUP($A52,'Institution Evaluation'!$A$56:$K$346,10,0)&amp;""</f>
        <v/>
      </c>
      <c r="N52" s="10">
        <f t="shared" si="2"/>
        <v>1</v>
      </c>
      <c r="O52" s="114">
        <f t="shared" si="3"/>
        <v>20</v>
      </c>
      <c r="P52" s="114">
        <f t="shared" si="4"/>
        <v>20</v>
      </c>
      <c r="Q52" s="114">
        <f t="shared" si="5"/>
        <v>0</v>
      </c>
      <c r="R52" s="114">
        <f t="shared" si="9"/>
        <v>0</v>
      </c>
      <c r="S52" s="114">
        <f t="shared" si="6"/>
        <v>0</v>
      </c>
      <c r="T52" s="114">
        <f t="shared" si="7"/>
        <v>1</v>
      </c>
      <c r="U52" s="114">
        <f t="shared" si="10"/>
        <v>10</v>
      </c>
      <c r="V52" s="114">
        <f t="shared" si="8"/>
        <v>10</v>
      </c>
    </row>
    <row r="53" spans="1:22" ht="56" x14ac:dyDescent="0.3">
      <c r="A53" s="10" t="str">
        <f>Questions!$A53</f>
        <v>THRD-04</v>
      </c>
      <c r="B53" s="10" t="str">
        <f t="shared" si="0"/>
        <v>THRD</v>
      </c>
      <c r="C53" s="10" t="str">
        <f>VLOOKUP($A53,Questions!$A$3:$L$333,2,0)&amp;""</f>
        <v>Do you have an implemented third-party management strategy?*</v>
      </c>
      <c r="D53" s="10" t="str">
        <f>VLOOKUP($A53,Questions!$A$3:$L$333,11,0)&amp;""</f>
        <v/>
      </c>
      <c r="E53" s="10" t="str">
        <f>VLOOKUP($A53,Questions!$A$3:$L$333,12,0)&amp;""</f>
        <v>Organization</v>
      </c>
      <c r="F53" s="10" t="str">
        <f>VLOOKUP($A53,'Institution Evaluation'!$A$56:$K$346,3,0)&amp;""</f>
        <v>Yes</v>
      </c>
      <c r="G53" s="10" t="str">
        <f>VLOOKUP($A53,'Institution Evaluation'!$A$56:$K$346,7,0)&amp;""</f>
        <v>Yes</v>
      </c>
      <c r="H53" s="10" t="str">
        <f>VLOOKUP($A53,'Institution Evaluation'!$A$56:$K$346,8,0)&amp;""</f>
        <v/>
      </c>
      <c r="I53" s="10" t="str">
        <f>VLOOKUP($A53,'Institution Evaluation'!$A$56:$K$346,9,0)&amp;""</f>
        <v>Critical Importance</v>
      </c>
      <c r="J53" s="10" t="str">
        <f>VLOOKUP($A53,'Institution Evaluation'!$A$56:$K$346,10,0)&amp;""</f>
        <v/>
      </c>
      <c r="K53" s="10">
        <f t="shared" si="1"/>
        <v>20</v>
      </c>
      <c r="L53" s="114">
        <f>IF($E53="Not Scored", "N/A",IF(AND($D53='Auto Responses'!$J$27,$H53=""),"N/A",IF(AND($D53='Auto Responses'!$J$27,$H53='Auto Responses'!$J$7),1,IF(AND($D53='Auto Responses'!$J$27,$H53='Auto Responses'!$J$8),0,IF(OR($F53=$G53,$H53='Auto Responses'!$J$7),1,0)))))</f>
        <v>1</v>
      </c>
      <c r="M53" s="10" t="str">
        <f>VLOOKUP($A53,'Institution Evaluation'!$A$56:$K$346,10,0)&amp;""</f>
        <v/>
      </c>
      <c r="N53" s="10">
        <f t="shared" si="2"/>
        <v>1</v>
      </c>
      <c r="O53" s="114">
        <f t="shared" si="3"/>
        <v>20</v>
      </c>
      <c r="P53" s="114">
        <f t="shared" si="4"/>
        <v>20</v>
      </c>
      <c r="Q53" s="114">
        <f t="shared" si="5"/>
        <v>0</v>
      </c>
      <c r="R53" s="114">
        <f t="shared" si="9"/>
        <v>0</v>
      </c>
      <c r="S53" s="114">
        <f t="shared" si="6"/>
        <v>0</v>
      </c>
      <c r="T53" s="114">
        <f t="shared" si="7"/>
        <v>1</v>
      </c>
      <c r="U53" s="114">
        <f t="shared" si="10"/>
        <v>11</v>
      </c>
      <c r="V53" s="114">
        <f t="shared" si="8"/>
        <v>11</v>
      </c>
    </row>
    <row r="54" spans="1:22" ht="56" x14ac:dyDescent="0.3">
      <c r="A54" s="10" t="str">
        <f>Questions!$A54</f>
        <v>THRD-05</v>
      </c>
      <c r="B54" s="10" t="str">
        <f t="shared" si="0"/>
        <v>THRD</v>
      </c>
      <c r="C54" s="10" t="str">
        <f>VLOOKUP($A54,Questions!$A$3:$L$333,2,0)&amp;""</f>
        <v>Do you have a process and implemented procedures for managing your hardware supply chain (e.g., telecommunications equipment, export licensing, computing devices)?</v>
      </c>
      <c r="D54" s="10" t="str">
        <f>VLOOKUP($A54,Questions!$A$3:$L$333,11,0)&amp;""</f>
        <v/>
      </c>
      <c r="E54" s="10" t="str">
        <f>VLOOKUP($A54,Questions!$A$3:$L$333,12,0)&amp;""</f>
        <v>Organization</v>
      </c>
      <c r="F54" s="10" t="str">
        <f>VLOOKUP($A54,'Institution Evaluation'!$A$56:$K$346,3,0)&amp;""</f>
        <v>Yes</v>
      </c>
      <c r="G54" s="10" t="str">
        <f>VLOOKUP($A54,'Institution Evaluation'!$A$56:$K$346,7,0)&amp;""</f>
        <v>Yes</v>
      </c>
      <c r="H54" s="10" t="str">
        <f>VLOOKUP($A54,'Institution Evaluation'!$A$56:$K$346,8,0)&amp;""</f>
        <v/>
      </c>
      <c r="I54" s="10" t="str">
        <f>VLOOKUP($A54,'Institution Evaluation'!$A$56:$K$346,9,0)&amp;""</f>
        <v>Standard Importance</v>
      </c>
      <c r="J54" s="10" t="str">
        <f>VLOOKUP($A54,'Institution Evaluation'!$A$56:$K$346,10,0)&amp;""</f>
        <v/>
      </c>
      <c r="K54" s="10">
        <f t="shared" si="1"/>
        <v>10</v>
      </c>
      <c r="L54" s="114">
        <f>IF($E54="Not Scored", "N/A",IF(AND($D54='Auto Responses'!$J$27,$H54=""),"N/A",IF(AND($D54='Auto Responses'!$J$27,$H54='Auto Responses'!$J$7),1,IF(AND($D54='Auto Responses'!$J$27,$H54='Auto Responses'!$J$8),0,IF(OR($F54=$G54,$H54='Auto Responses'!$J$7),1,0)))))</f>
        <v>1</v>
      </c>
      <c r="M54" s="10" t="str">
        <f>VLOOKUP($A54,'Institution Evaluation'!$A$56:$K$346,10,0)&amp;""</f>
        <v/>
      </c>
      <c r="N54" s="10">
        <f t="shared" si="2"/>
        <v>0</v>
      </c>
      <c r="O54" s="114">
        <f t="shared" si="3"/>
        <v>10</v>
      </c>
      <c r="P54" s="114">
        <f t="shared" si="4"/>
        <v>10</v>
      </c>
      <c r="Q54" s="114">
        <f t="shared" si="5"/>
        <v>0</v>
      </c>
      <c r="R54" s="114">
        <f t="shared" si="9"/>
        <v>0</v>
      </c>
      <c r="S54" s="114">
        <f t="shared" si="6"/>
        <v>0</v>
      </c>
      <c r="T54" s="114">
        <f t="shared" si="7"/>
        <v>0</v>
      </c>
      <c r="U54" s="114">
        <f t="shared" si="10"/>
        <v>11</v>
      </c>
      <c r="V54" s="114">
        <f t="shared" si="8"/>
        <v>0</v>
      </c>
    </row>
    <row r="55" spans="1:22" ht="56" x14ac:dyDescent="0.3">
      <c r="A55" s="10" t="str">
        <f>Questions!$A55</f>
        <v>CONS-01</v>
      </c>
      <c r="B55" s="10" t="str">
        <f t="shared" si="0"/>
        <v>CONS</v>
      </c>
      <c r="C55" s="10" t="str">
        <f>VLOOKUP($A55,Questions!$A$3:$L$333,2,0)&amp;""</f>
        <v>Will the consultant require access to the institution's network resources?*</v>
      </c>
      <c r="D55" s="10" t="str">
        <f>VLOOKUP($A55,Questions!$A$3:$L$333,11,0)&amp;""</f>
        <v/>
      </c>
      <c r="E55" s="10" t="str">
        <f>VLOOKUP($A55,Questions!$A$3:$L$333,12,0)&amp;""</f>
        <v>Case-Specific</v>
      </c>
      <c r="F55" s="10" t="str">
        <f>VLOOKUP($A55,'Institution Evaluation'!$A$56:$K$346,3,0)&amp;""</f>
        <v/>
      </c>
      <c r="G55" s="10" t="str">
        <f>VLOOKUP($A55,'Institution Evaluation'!$A$56:$K$346,7,0)&amp;""</f>
        <v>No</v>
      </c>
      <c r="H55" s="10" t="str">
        <f>VLOOKUP($A55,'Institution Evaluation'!$A$56:$K$346,8,0)&amp;""</f>
        <v/>
      </c>
      <c r="I55" s="10" t="str">
        <f>VLOOKUP($A55,'Institution Evaluation'!$A$56:$K$346,9,0)&amp;""</f>
        <v>Critical Importance</v>
      </c>
      <c r="J55" s="10" t="str">
        <f>VLOOKUP($A55,'Institution Evaluation'!$A$56:$K$346,10,0)&amp;""</f>
        <v/>
      </c>
      <c r="K55" s="10">
        <f t="shared" si="1"/>
        <v>20</v>
      </c>
      <c r="L55" s="114">
        <f>IF($E55="Not Scored", "N/A",IF(AND($D55='Auto Responses'!$J$27,$H55=""),"N/A",IF(AND($D55='Auto Responses'!$J$27,$H55='Auto Responses'!$J$7),1,IF(AND($D55='Auto Responses'!$J$27,$H55='Auto Responses'!$J$8),0,IF(OR($F55=$G55,$H55='Auto Responses'!$J$7),1,0)))))</f>
        <v>0</v>
      </c>
      <c r="M55" s="10" t="str">
        <f>VLOOKUP($A55,'Institution Evaluation'!$A$56:$K$346,10,0)&amp;""</f>
        <v/>
      </c>
      <c r="N55" s="10">
        <f t="shared" si="2"/>
        <v>1</v>
      </c>
      <c r="O55" s="114" t="str">
        <f>IF(OR($F$19="No",$E55="Not Scored"),"N/A",IF($J55="",$K55,IF($J55="Minor Importance",5,IF($J55="Standard Importance",10,IF($J55="Critical Importance",20,0)))))</f>
        <v>N/A</v>
      </c>
      <c r="P55" s="114" t="str">
        <f t="shared" si="4"/>
        <v>N/A</v>
      </c>
      <c r="Q55" s="114">
        <f t="shared" si="5"/>
        <v>0</v>
      </c>
      <c r="R55" s="114">
        <f t="shared" si="9"/>
        <v>0</v>
      </c>
      <c r="S55" s="114">
        <f t="shared" si="6"/>
        <v>0</v>
      </c>
      <c r="T55" s="114">
        <f t="shared" si="7"/>
        <v>1</v>
      </c>
      <c r="U55" s="114">
        <f t="shared" si="10"/>
        <v>12</v>
      </c>
      <c r="V55" s="114">
        <f t="shared" si="8"/>
        <v>12</v>
      </c>
    </row>
    <row r="56" spans="1:22" ht="56" x14ac:dyDescent="0.3">
      <c r="A56" s="10" t="str">
        <f>Questions!$A56</f>
        <v>CONS-02</v>
      </c>
      <c r="B56" s="10" t="str">
        <f t="shared" si="0"/>
        <v>CONS</v>
      </c>
      <c r="C56" s="10" t="str">
        <f>VLOOKUP($A56,Questions!$A$3:$L$333,2,0)&amp;""</f>
        <v>Has the consultant received training on (sensitive, HIPAA, PCI, etc.) data handling?*</v>
      </c>
      <c r="D56" s="10" t="str">
        <f>VLOOKUP($A56,Questions!$A$3:$L$333,11,0)&amp;""</f>
        <v/>
      </c>
      <c r="E56" s="10" t="str">
        <f>VLOOKUP($A56,Questions!$A$3:$L$333,12,0)&amp;""</f>
        <v>Case-Specific</v>
      </c>
      <c r="F56" s="10" t="str">
        <f>VLOOKUP($A56,'Institution Evaluation'!$A$56:$K$346,3,0)&amp;""</f>
        <v/>
      </c>
      <c r="G56" s="10" t="str">
        <f>VLOOKUP($A56,'Institution Evaluation'!$A$56:$K$346,7,0)&amp;""</f>
        <v>Yes</v>
      </c>
      <c r="H56" s="10" t="str">
        <f>VLOOKUP($A56,'Institution Evaluation'!$A$56:$K$346,8,0)&amp;""</f>
        <v/>
      </c>
      <c r="I56" s="10" t="str">
        <f>VLOOKUP($A56,'Institution Evaluation'!$A$56:$K$346,9,0)&amp;""</f>
        <v>Critical Importance</v>
      </c>
      <c r="J56" s="10" t="str">
        <f>VLOOKUP($A56,'Institution Evaluation'!$A$56:$K$346,10,0)&amp;""</f>
        <v/>
      </c>
      <c r="K56" s="10">
        <f t="shared" si="1"/>
        <v>20</v>
      </c>
      <c r="L56" s="114">
        <f>IF($E56="Not Scored", "N/A",IF(AND($D56='Auto Responses'!$J$27,$H56=""),"N/A",IF(AND($D56='Auto Responses'!$J$27,$H56='Auto Responses'!$J$7),1,IF(AND($D56='Auto Responses'!$J$27,$H56='Auto Responses'!$J$8),0,IF(OR($F56=$G56,$H56='Auto Responses'!$J$7),1,0)))))</f>
        <v>0</v>
      </c>
      <c r="M56" s="10" t="str">
        <f>VLOOKUP($A56,'Institution Evaluation'!$A$56:$K$346,10,0)&amp;""</f>
        <v/>
      </c>
      <c r="N56" s="10">
        <f t="shared" si="2"/>
        <v>1</v>
      </c>
      <c r="O56" s="114" t="str">
        <f t="shared" ref="O56:O63" si="12">IF(OR($F$19="No",$E56="Not Scored"),"N/A",IF($J56="",$K56,IF($J56="Minor Importance",5,IF($J56="Standard Importance",10,IF($J56="Critical Importance",20,0)))))</f>
        <v>N/A</v>
      </c>
      <c r="P56" s="114" t="str">
        <f t="shared" si="4"/>
        <v>N/A</v>
      </c>
      <c r="Q56" s="114">
        <f t="shared" si="5"/>
        <v>0</v>
      </c>
      <c r="R56" s="114">
        <f t="shared" si="9"/>
        <v>0</v>
      </c>
      <c r="S56" s="114">
        <f t="shared" si="6"/>
        <v>0</v>
      </c>
      <c r="T56" s="114">
        <f t="shared" si="7"/>
        <v>1</v>
      </c>
      <c r="U56" s="114">
        <f t="shared" si="10"/>
        <v>13</v>
      </c>
      <c r="V56" s="114">
        <f t="shared" si="8"/>
        <v>13</v>
      </c>
    </row>
    <row r="57" spans="1:22" ht="56" x14ac:dyDescent="0.3">
      <c r="A57" s="10" t="str">
        <f>Questions!$A57</f>
        <v>CONS-03</v>
      </c>
      <c r="B57" s="10" t="str">
        <f t="shared" si="0"/>
        <v>CONS</v>
      </c>
      <c r="C57" s="10" t="str">
        <f>VLOOKUP($A57,Questions!$A$3:$L$333,2,0)&amp;""</f>
        <v>Is the data encrypted (at rest) while in the consultant's possession?*</v>
      </c>
      <c r="D57" s="10" t="str">
        <f>VLOOKUP($A57,Questions!$A$3:$L$333,11,0)&amp;""</f>
        <v/>
      </c>
      <c r="E57" s="10" t="str">
        <f>VLOOKUP($A57,Questions!$A$3:$L$333,12,0)&amp;""</f>
        <v>Case-Specific</v>
      </c>
      <c r="F57" s="10" t="str">
        <f>VLOOKUP($A57,'Institution Evaluation'!$A$56:$K$346,3,0)&amp;""</f>
        <v/>
      </c>
      <c r="G57" s="10" t="str">
        <f>VLOOKUP($A57,'Institution Evaluation'!$A$56:$K$346,7,0)&amp;""</f>
        <v>Yes</v>
      </c>
      <c r="H57" s="10" t="str">
        <f>VLOOKUP($A57,'Institution Evaluation'!$A$56:$K$346,8,0)&amp;""</f>
        <v/>
      </c>
      <c r="I57" s="10" t="str">
        <f>VLOOKUP($A57,'Institution Evaluation'!$A$56:$K$346,9,0)&amp;""</f>
        <v>Critical Importance</v>
      </c>
      <c r="J57" s="10" t="str">
        <f>VLOOKUP($A57,'Institution Evaluation'!$A$56:$K$346,10,0)&amp;""</f>
        <v/>
      </c>
      <c r="K57" s="10">
        <f t="shared" si="1"/>
        <v>20</v>
      </c>
      <c r="L57" s="114">
        <f>IF($E57="Not Scored", "N/A",IF(AND($D57='Auto Responses'!$J$27,$H57=""),"N/A",IF(AND($D57='Auto Responses'!$J$27,$H57='Auto Responses'!$J$7),1,IF(AND($D57='Auto Responses'!$J$27,$H57='Auto Responses'!$J$8),0,IF(OR($F57=$G57,$H57='Auto Responses'!$J$7),1,0)))))</f>
        <v>0</v>
      </c>
      <c r="M57" s="10" t="str">
        <f>VLOOKUP($A57,'Institution Evaluation'!$A$56:$K$346,10,0)&amp;""</f>
        <v/>
      </c>
      <c r="N57" s="10">
        <f t="shared" si="2"/>
        <v>1</v>
      </c>
      <c r="O57" s="114" t="str">
        <f t="shared" si="12"/>
        <v>N/A</v>
      </c>
      <c r="P57" s="114" t="str">
        <f t="shared" si="4"/>
        <v>N/A</v>
      </c>
      <c r="Q57" s="114">
        <f t="shared" si="5"/>
        <v>0</v>
      </c>
      <c r="R57" s="114">
        <f t="shared" si="9"/>
        <v>0</v>
      </c>
      <c r="S57" s="114">
        <f t="shared" si="6"/>
        <v>0</v>
      </c>
      <c r="T57" s="114">
        <f t="shared" si="7"/>
        <v>1</v>
      </c>
      <c r="U57" s="114">
        <f t="shared" si="10"/>
        <v>14</v>
      </c>
      <c r="V57" s="114">
        <f t="shared" si="8"/>
        <v>14</v>
      </c>
    </row>
    <row r="58" spans="1:22" ht="56" x14ac:dyDescent="0.3">
      <c r="A58" s="10" t="str">
        <f>Questions!$A58</f>
        <v>CONS-04</v>
      </c>
      <c r="B58" s="10" t="str">
        <f t="shared" si="0"/>
        <v>CONS</v>
      </c>
      <c r="C58" s="10" t="str">
        <f>VLOOKUP($A58,Questions!$A$3:$L$333,2,0)&amp;""</f>
        <v>Can access be restricted based on source IP address?*</v>
      </c>
      <c r="D58" s="10" t="str">
        <f>VLOOKUP($A58,Questions!$A$3:$L$333,11,0)&amp;""</f>
        <v/>
      </c>
      <c r="E58" s="10" t="str">
        <f>VLOOKUP($A58,Questions!$A$3:$L$333,12,0)&amp;""</f>
        <v>Case-Specific</v>
      </c>
      <c r="F58" s="10" t="str">
        <f>VLOOKUP($A58,'Institution Evaluation'!$A$56:$K$346,3,0)&amp;""</f>
        <v/>
      </c>
      <c r="G58" s="10" t="str">
        <f>VLOOKUP($A58,'Institution Evaluation'!$A$56:$K$346,7,0)&amp;""</f>
        <v>Yes</v>
      </c>
      <c r="H58" s="10" t="str">
        <f>VLOOKUP($A58,'Institution Evaluation'!$A$56:$K$346,8,0)&amp;""</f>
        <v/>
      </c>
      <c r="I58" s="10" t="str">
        <f>VLOOKUP($A58,'Institution Evaluation'!$A$56:$K$346,9,0)&amp;""</f>
        <v>Critical Importance</v>
      </c>
      <c r="J58" s="10" t="str">
        <f>VLOOKUP($A58,'Institution Evaluation'!$A$56:$K$346,10,0)&amp;""</f>
        <v/>
      </c>
      <c r="K58" s="10">
        <f t="shared" si="1"/>
        <v>20</v>
      </c>
      <c r="L58" s="114">
        <f>IF($E58="Not Scored", "N/A",IF(AND($D58='Auto Responses'!$J$27,$H58=""),"N/A",IF(AND($D58='Auto Responses'!$J$27,$H58='Auto Responses'!$J$7),1,IF(AND($D58='Auto Responses'!$J$27,$H58='Auto Responses'!$J$8),0,IF(OR($F58=$G58,$H58='Auto Responses'!$J$7),1,0)))))</f>
        <v>0</v>
      </c>
      <c r="M58" s="10" t="str">
        <f>VLOOKUP($A58,'Institution Evaluation'!$A$56:$K$346,10,0)&amp;""</f>
        <v/>
      </c>
      <c r="N58" s="10">
        <f t="shared" si="2"/>
        <v>1</v>
      </c>
      <c r="O58" s="114" t="str">
        <f t="shared" si="12"/>
        <v>N/A</v>
      </c>
      <c r="P58" s="114" t="str">
        <f t="shared" si="4"/>
        <v>N/A</v>
      </c>
      <c r="Q58" s="114">
        <f t="shared" si="5"/>
        <v>0</v>
      </c>
      <c r="R58" s="114">
        <f t="shared" si="9"/>
        <v>0</v>
      </c>
      <c r="S58" s="114">
        <f t="shared" si="6"/>
        <v>0</v>
      </c>
      <c r="T58" s="114">
        <f t="shared" si="7"/>
        <v>1</v>
      </c>
      <c r="U58" s="114">
        <f t="shared" si="10"/>
        <v>15</v>
      </c>
      <c r="V58" s="114">
        <f t="shared" si="8"/>
        <v>15</v>
      </c>
    </row>
    <row r="59" spans="1:22" ht="56" x14ac:dyDescent="0.3">
      <c r="A59" s="10" t="str">
        <f>Questions!$A59</f>
        <v>CONS-05</v>
      </c>
      <c r="B59" s="10" t="str">
        <f t="shared" si="0"/>
        <v>CONS</v>
      </c>
      <c r="C59" s="10" t="str">
        <f>VLOOKUP($A59,Questions!$A$3:$L$333,2,0)&amp;""</f>
        <v>Will the consulting take place on-premises?</v>
      </c>
      <c r="D59" s="10" t="str">
        <f>VLOOKUP($A59,Questions!$A$3:$L$333,11,0)&amp;""</f>
        <v/>
      </c>
      <c r="E59" s="10" t="str">
        <f>VLOOKUP($A59,Questions!$A$3:$L$333,12,0)&amp;""</f>
        <v>Case-Specific</v>
      </c>
      <c r="F59" s="10" t="str">
        <f>VLOOKUP($A59,'Institution Evaluation'!$A$56:$K$346,3,0)&amp;""</f>
        <v/>
      </c>
      <c r="G59" s="10" t="str">
        <f>VLOOKUP($A59,'Institution Evaluation'!$A$56:$K$346,7,0)&amp;""</f>
        <v>No</v>
      </c>
      <c r="H59" s="10" t="str">
        <f>VLOOKUP($A59,'Institution Evaluation'!$A$56:$K$346,8,0)&amp;""</f>
        <v/>
      </c>
      <c r="I59" s="10" t="str">
        <f>VLOOKUP($A59,'Institution Evaluation'!$A$56:$K$346,9,0)&amp;""</f>
        <v>Standard Importance</v>
      </c>
      <c r="J59" s="10" t="str">
        <f>VLOOKUP($A59,'Institution Evaluation'!$A$56:$K$346,10,0)&amp;""</f>
        <v/>
      </c>
      <c r="K59" s="10">
        <f t="shared" si="1"/>
        <v>10</v>
      </c>
      <c r="L59" s="114">
        <f>IF($E59="Not Scored", "N/A",IF(AND($D59='Auto Responses'!$J$27,$H59=""),"N/A",IF(AND($D59='Auto Responses'!$J$27,$H59='Auto Responses'!$J$7),1,IF(AND($D59='Auto Responses'!$J$27,$H59='Auto Responses'!$J$8),0,IF(OR($F59=$G59,$H59='Auto Responses'!$J$7),1,0)))))</f>
        <v>0</v>
      </c>
      <c r="M59" s="10" t="str">
        <f>VLOOKUP($A59,'Institution Evaluation'!$A$56:$K$346,10,0)&amp;""</f>
        <v/>
      </c>
      <c r="N59" s="10">
        <f t="shared" si="2"/>
        <v>0</v>
      </c>
      <c r="O59" s="114" t="str">
        <f t="shared" si="12"/>
        <v>N/A</v>
      </c>
      <c r="P59" s="114" t="str">
        <f t="shared" si="4"/>
        <v>N/A</v>
      </c>
      <c r="Q59" s="114">
        <f t="shared" si="5"/>
        <v>0</v>
      </c>
      <c r="R59" s="114">
        <f t="shared" si="9"/>
        <v>0</v>
      </c>
      <c r="S59" s="114">
        <f t="shared" si="6"/>
        <v>0</v>
      </c>
      <c r="T59" s="114">
        <f t="shared" si="7"/>
        <v>0</v>
      </c>
      <c r="U59" s="114">
        <f t="shared" si="10"/>
        <v>15</v>
      </c>
      <c r="V59" s="114">
        <f t="shared" si="8"/>
        <v>0</v>
      </c>
    </row>
    <row r="60" spans="1:22" ht="56" x14ac:dyDescent="0.3">
      <c r="A60" s="10" t="str">
        <f>Questions!$A60</f>
        <v>CONS-06</v>
      </c>
      <c r="B60" s="10" t="str">
        <f t="shared" si="0"/>
        <v>CONS</v>
      </c>
      <c r="C60" s="10" t="str">
        <f>VLOOKUP($A60,Questions!$A$3:$L$333,2,0)&amp;""</f>
        <v>Will the consultant require access to hardware in the institution's data centers?</v>
      </c>
      <c r="D60" s="10" t="str">
        <f>VLOOKUP($A60,Questions!$A$3:$L$333,11,0)&amp;""</f>
        <v/>
      </c>
      <c r="E60" s="10" t="str">
        <f>VLOOKUP($A60,Questions!$A$3:$L$333,12,0)&amp;""</f>
        <v>Case-Specific</v>
      </c>
      <c r="F60" s="10" t="str">
        <f>VLOOKUP($A60,'Institution Evaluation'!$A$56:$K$346,3,0)&amp;""</f>
        <v/>
      </c>
      <c r="G60" s="10" t="str">
        <f>VLOOKUP($A60,'Institution Evaluation'!$A$56:$K$346,7,0)&amp;""</f>
        <v>No</v>
      </c>
      <c r="H60" s="10" t="str">
        <f>VLOOKUP($A60,'Institution Evaluation'!$A$56:$K$346,8,0)&amp;""</f>
        <v/>
      </c>
      <c r="I60" s="10" t="str">
        <f>VLOOKUP($A60,'Institution Evaluation'!$A$56:$K$346,9,0)&amp;""</f>
        <v>Standard Importance</v>
      </c>
      <c r="J60" s="10" t="str">
        <f>VLOOKUP($A60,'Institution Evaluation'!$A$56:$K$346,10,0)&amp;""</f>
        <v/>
      </c>
      <c r="K60" s="10">
        <f t="shared" si="1"/>
        <v>10</v>
      </c>
      <c r="L60" s="114">
        <f>IF($E60="Not Scored", "N/A",IF(AND($D60='Auto Responses'!$J$27,$H60=""),"N/A",IF(AND($D60='Auto Responses'!$J$27,$H60='Auto Responses'!$J$7),1,IF(AND($D60='Auto Responses'!$J$27,$H60='Auto Responses'!$J$8),0,IF(OR($F60=$G60,$H60='Auto Responses'!$J$7),1,0)))))</f>
        <v>0</v>
      </c>
      <c r="M60" s="10" t="str">
        <f>VLOOKUP($A60,'Institution Evaluation'!$A$56:$K$346,10,0)&amp;""</f>
        <v/>
      </c>
      <c r="N60" s="10">
        <f t="shared" si="2"/>
        <v>0</v>
      </c>
      <c r="O60" s="114" t="str">
        <f t="shared" si="12"/>
        <v>N/A</v>
      </c>
      <c r="P60" s="114" t="str">
        <f t="shared" si="4"/>
        <v>N/A</v>
      </c>
      <c r="Q60" s="114">
        <f t="shared" si="5"/>
        <v>0</v>
      </c>
      <c r="R60" s="114">
        <f t="shared" si="9"/>
        <v>0</v>
      </c>
      <c r="S60" s="114">
        <f t="shared" si="6"/>
        <v>0</v>
      </c>
      <c r="T60" s="114">
        <f t="shared" si="7"/>
        <v>0</v>
      </c>
      <c r="U60" s="114">
        <f t="shared" si="10"/>
        <v>15</v>
      </c>
      <c r="V60" s="114">
        <f t="shared" si="8"/>
        <v>0</v>
      </c>
    </row>
    <row r="61" spans="1:22" ht="56" x14ac:dyDescent="0.3">
      <c r="A61" s="10" t="str">
        <f>Questions!$A61</f>
        <v>CONS-07</v>
      </c>
      <c r="B61" s="10" t="str">
        <f t="shared" si="0"/>
        <v>CONS</v>
      </c>
      <c r="C61" s="10" t="str">
        <f>VLOOKUP($A61,Questions!$A$3:$L$333,2,0)&amp;""</f>
        <v>Will the consultant require an account within the institution's domain (@*.edu)?</v>
      </c>
      <c r="D61" s="10" t="str">
        <f>VLOOKUP($A61,Questions!$A$3:$L$333,11,0)&amp;""</f>
        <v/>
      </c>
      <c r="E61" s="10" t="str">
        <f>VLOOKUP($A61,Questions!$A$3:$L$333,12,0)&amp;""</f>
        <v>Case-Specific</v>
      </c>
      <c r="F61" s="10" t="str">
        <f>VLOOKUP($A61,'Institution Evaluation'!$A$56:$K$346,3,0)&amp;""</f>
        <v/>
      </c>
      <c r="G61" s="10" t="str">
        <f>VLOOKUP($A61,'Institution Evaluation'!$A$56:$K$346,7,0)&amp;""</f>
        <v>No</v>
      </c>
      <c r="H61" s="10" t="str">
        <f>VLOOKUP($A61,'Institution Evaluation'!$A$56:$K$346,8,0)&amp;""</f>
        <v/>
      </c>
      <c r="I61" s="10" t="str">
        <f>VLOOKUP($A61,'Institution Evaluation'!$A$56:$K$346,9,0)&amp;""</f>
        <v>Standard Importance</v>
      </c>
      <c r="J61" s="10" t="str">
        <f>VLOOKUP($A61,'Institution Evaluation'!$A$56:$K$346,10,0)&amp;""</f>
        <v/>
      </c>
      <c r="K61" s="10">
        <f t="shared" si="1"/>
        <v>10</v>
      </c>
      <c r="L61" s="114">
        <f>IF($E61="Not Scored", "N/A",IF(AND($D61='Auto Responses'!$J$27,$H61=""),"N/A",IF(AND($D61='Auto Responses'!$J$27,$H61='Auto Responses'!$J$7),1,IF(AND($D61='Auto Responses'!$J$27,$H61='Auto Responses'!$J$8),0,IF(OR($F61=$G61,$H61='Auto Responses'!$J$7),1,0)))))</f>
        <v>0</v>
      </c>
      <c r="M61" s="10" t="str">
        <f>VLOOKUP($A61,'Institution Evaluation'!$A$56:$K$346,10,0)&amp;""</f>
        <v/>
      </c>
      <c r="N61" s="10">
        <f t="shared" si="2"/>
        <v>0</v>
      </c>
      <c r="O61" s="114" t="str">
        <f t="shared" si="12"/>
        <v>N/A</v>
      </c>
      <c r="P61" s="114" t="str">
        <f t="shared" si="4"/>
        <v>N/A</v>
      </c>
      <c r="Q61" s="114">
        <f t="shared" si="5"/>
        <v>0</v>
      </c>
      <c r="R61" s="114">
        <f t="shared" si="9"/>
        <v>0</v>
      </c>
      <c r="S61" s="114">
        <f t="shared" si="6"/>
        <v>0</v>
      </c>
      <c r="T61" s="114">
        <f t="shared" si="7"/>
        <v>0</v>
      </c>
      <c r="U61" s="114">
        <f t="shared" si="10"/>
        <v>15</v>
      </c>
      <c r="V61" s="114">
        <f t="shared" si="8"/>
        <v>0</v>
      </c>
    </row>
    <row r="62" spans="1:22" ht="56" x14ac:dyDescent="0.3">
      <c r="A62" s="10" t="str">
        <f>Questions!$A62</f>
        <v>CONS-08</v>
      </c>
      <c r="B62" s="10" t="str">
        <f t="shared" si="0"/>
        <v>CONS</v>
      </c>
      <c r="C62" s="10" t="str">
        <f>VLOOKUP($A62,Questions!$A$3:$L$333,2,0)&amp;""</f>
        <v>Will any data be transferred to the consultant's possession?</v>
      </c>
      <c r="D62" s="10" t="str">
        <f>VLOOKUP($A62,Questions!$A$3:$L$333,11,0)&amp;""</f>
        <v/>
      </c>
      <c r="E62" s="10" t="str">
        <f>VLOOKUP($A62,Questions!$A$3:$L$333,12,0)&amp;""</f>
        <v>Case-Specific</v>
      </c>
      <c r="F62" s="10" t="str">
        <f>VLOOKUP($A62,'Institution Evaluation'!$A$56:$K$346,3,0)&amp;""</f>
        <v/>
      </c>
      <c r="G62" s="10" t="str">
        <f>VLOOKUP($A62,'Institution Evaluation'!$A$56:$K$346,7,0)&amp;""</f>
        <v>No</v>
      </c>
      <c r="H62" s="10" t="str">
        <f>VLOOKUP($A62,'Institution Evaluation'!$A$56:$K$346,8,0)&amp;""</f>
        <v/>
      </c>
      <c r="I62" s="10" t="str">
        <f>VLOOKUP($A62,'Institution Evaluation'!$A$56:$K$346,9,0)&amp;""</f>
        <v>Standard Importance</v>
      </c>
      <c r="J62" s="10" t="str">
        <f>VLOOKUP($A62,'Institution Evaluation'!$A$56:$K$346,10,0)&amp;""</f>
        <v/>
      </c>
      <c r="K62" s="10">
        <f t="shared" si="1"/>
        <v>10</v>
      </c>
      <c r="L62" s="114">
        <f>IF($E62="Not Scored", "N/A",IF(AND($D62='Auto Responses'!$J$27,$H62=""),"N/A",IF(AND($D62='Auto Responses'!$J$27,$H62='Auto Responses'!$J$7),1,IF(AND($D62='Auto Responses'!$J$27,$H62='Auto Responses'!$J$8),0,IF(OR($F62=$G62,$H62='Auto Responses'!$J$7),1,0)))))</f>
        <v>0</v>
      </c>
      <c r="M62" s="10" t="str">
        <f>VLOOKUP($A62,'Institution Evaluation'!$A$56:$K$346,10,0)&amp;""</f>
        <v/>
      </c>
      <c r="N62" s="10">
        <f t="shared" si="2"/>
        <v>0</v>
      </c>
      <c r="O62" s="114" t="str">
        <f t="shared" si="12"/>
        <v>N/A</v>
      </c>
      <c r="P62" s="114" t="str">
        <f t="shared" si="4"/>
        <v>N/A</v>
      </c>
      <c r="Q62" s="114">
        <f t="shared" si="5"/>
        <v>0</v>
      </c>
      <c r="R62" s="114">
        <f t="shared" si="9"/>
        <v>0</v>
      </c>
      <c r="S62" s="114">
        <f t="shared" si="6"/>
        <v>0</v>
      </c>
      <c r="T62" s="114">
        <f t="shared" si="7"/>
        <v>0</v>
      </c>
      <c r="U62" s="114">
        <f t="shared" si="10"/>
        <v>15</v>
      </c>
      <c r="V62" s="114">
        <f t="shared" si="8"/>
        <v>0</v>
      </c>
    </row>
    <row r="63" spans="1:22" ht="56" x14ac:dyDescent="0.3">
      <c r="A63" s="10" t="str">
        <f>Questions!$A63</f>
        <v>CONS-09</v>
      </c>
      <c r="B63" s="10" t="str">
        <f t="shared" si="0"/>
        <v>CONS</v>
      </c>
      <c r="C63" s="10" t="str">
        <f>VLOOKUP($A63,Questions!$A$3:$L$333,2,0)&amp;""</f>
        <v>Will the consultant need remote access to the institution's network or systems?</v>
      </c>
      <c r="D63" s="10" t="str">
        <f>VLOOKUP($A63,Questions!$A$3:$L$333,11,0)&amp;""</f>
        <v/>
      </c>
      <c r="E63" s="10" t="str">
        <f>VLOOKUP($A63,Questions!$A$3:$L$333,12,0)&amp;""</f>
        <v>Case-Specific</v>
      </c>
      <c r="F63" s="10" t="str">
        <f>VLOOKUP($A63,'Institution Evaluation'!$A$56:$K$346,3,0)&amp;""</f>
        <v/>
      </c>
      <c r="G63" s="10" t="str">
        <f>VLOOKUP($A63,'Institution Evaluation'!$A$56:$K$346,7,0)&amp;""</f>
        <v>No</v>
      </c>
      <c r="H63" s="10" t="str">
        <f>VLOOKUP($A63,'Institution Evaluation'!$A$56:$K$346,8,0)&amp;""</f>
        <v/>
      </c>
      <c r="I63" s="10" t="str">
        <f>VLOOKUP($A63,'Institution Evaluation'!$A$56:$K$346,9,0)&amp;""</f>
        <v>Standard Importance</v>
      </c>
      <c r="J63" s="10" t="str">
        <f>VLOOKUP($A63,'Institution Evaluation'!$A$56:$K$346,10,0)&amp;""</f>
        <v/>
      </c>
      <c r="K63" s="10">
        <f t="shared" si="1"/>
        <v>10</v>
      </c>
      <c r="L63" s="114">
        <f>IF($E63="Not Scored", "N/A",IF(AND($D63='Auto Responses'!$J$27,$H63=""),"N/A",IF(AND($D63='Auto Responses'!$J$27,$H63='Auto Responses'!$J$7),1,IF(AND($D63='Auto Responses'!$J$27,$H63='Auto Responses'!$J$8),0,IF(OR($F63=$G63,$H63='Auto Responses'!$J$7),1,0)))))</f>
        <v>0</v>
      </c>
      <c r="M63" s="10" t="str">
        <f>VLOOKUP($A63,'Institution Evaluation'!$A$56:$K$346,10,0)&amp;""</f>
        <v/>
      </c>
      <c r="N63" s="10">
        <f t="shared" si="2"/>
        <v>0</v>
      </c>
      <c r="O63" s="114" t="str">
        <f t="shared" si="12"/>
        <v>N/A</v>
      </c>
      <c r="P63" s="114" t="str">
        <f t="shared" si="4"/>
        <v>N/A</v>
      </c>
      <c r="Q63" s="114">
        <f t="shared" si="5"/>
        <v>0</v>
      </c>
      <c r="R63" s="114">
        <f t="shared" si="9"/>
        <v>0</v>
      </c>
      <c r="S63" s="114">
        <f t="shared" si="6"/>
        <v>0</v>
      </c>
      <c r="T63" s="114">
        <f t="shared" si="7"/>
        <v>0</v>
      </c>
      <c r="U63" s="114">
        <f t="shared" si="10"/>
        <v>15</v>
      </c>
      <c r="V63" s="114">
        <f t="shared" si="8"/>
        <v>0</v>
      </c>
    </row>
    <row r="64" spans="1:22" ht="56" x14ac:dyDescent="0.3">
      <c r="A64" s="10" t="str">
        <f>Questions!$A64</f>
        <v>APPL-01</v>
      </c>
      <c r="B64" s="10" t="str">
        <f t="shared" si="0"/>
        <v>APPL</v>
      </c>
      <c r="C64" s="10" t="str">
        <f>VLOOKUP($A64,Questions!$A$3:$L$333,2,0)&amp;""</f>
        <v>Are access controls for institutional accounts based on structured rules, such as role-based access control (RBAC), attribute-based access control (ABAC), or policy-based access control (PBAC)?*</v>
      </c>
      <c r="D64" s="10" t="str">
        <f>VLOOKUP($A64,Questions!$A$3:$L$333,11,0)&amp;""</f>
        <v/>
      </c>
      <c r="E64" s="10" t="str">
        <f>VLOOKUP($A64,Questions!$A$3:$L$333,12,0)&amp;""</f>
        <v>Infrastructure</v>
      </c>
      <c r="F64" s="10" t="str">
        <f>VLOOKUP($A64,'Institution Evaluation'!$A$56:$K$346,3,0)&amp;""</f>
        <v>Yes</v>
      </c>
      <c r="G64" s="10" t="str">
        <f>VLOOKUP($A64,'Institution Evaluation'!$A$56:$K$346,7,0)&amp;""</f>
        <v>Yes</v>
      </c>
      <c r="H64" s="10" t="str">
        <f>VLOOKUP($A64,'Institution Evaluation'!$A$56:$K$346,8,0)&amp;""</f>
        <v/>
      </c>
      <c r="I64" s="10" t="str">
        <f>VLOOKUP($A64,'Institution Evaluation'!$A$56:$K$346,9,0)&amp;""</f>
        <v>Critical Importance</v>
      </c>
      <c r="J64" s="10" t="str">
        <f>VLOOKUP($A64,'Institution Evaluation'!$A$56:$K$346,10,0)&amp;""</f>
        <v/>
      </c>
      <c r="K64" s="10">
        <f t="shared" si="1"/>
        <v>20</v>
      </c>
      <c r="L64" s="114">
        <f>IF($E64="Not Scored", "N/A",IF(AND($D64='Auto Responses'!$J$27,$H64=""),"N/A",IF(AND($D64='Auto Responses'!$J$27,$H64='Auto Responses'!$J$7),1,IF(AND($D64='Auto Responses'!$J$27,$H64='Auto Responses'!$J$8),0,IF(OR($F64=$G64,$H64='Auto Responses'!$J$7),1,0)))))</f>
        <v>1</v>
      </c>
      <c r="M64" s="10" t="str">
        <f>VLOOKUP($A64,'Institution Evaluation'!$A$56:$K$346,10,0)&amp;""</f>
        <v/>
      </c>
      <c r="N64" s="10">
        <f t="shared" si="2"/>
        <v>1</v>
      </c>
      <c r="O64" s="114">
        <f>IF(OR($F$17="No",$E64="Not Scored"),"N/A",IF($J64="",$K64,IF($J64="Minor Importance",5,IF($J64="Standard Importance",10,IF($J64="Critical Importance",20,0)))))</f>
        <v>20</v>
      </c>
      <c r="P64" s="114">
        <f t="shared" si="4"/>
        <v>20</v>
      </c>
      <c r="Q64" s="114">
        <f t="shared" si="5"/>
        <v>0</v>
      </c>
      <c r="R64" s="114">
        <f t="shared" si="9"/>
        <v>0</v>
      </c>
      <c r="S64" s="114">
        <f t="shared" si="6"/>
        <v>0</v>
      </c>
      <c r="T64" s="114">
        <f t="shared" si="7"/>
        <v>1</v>
      </c>
      <c r="U64" s="114">
        <f t="shared" si="10"/>
        <v>16</v>
      </c>
      <c r="V64" s="114">
        <f t="shared" si="8"/>
        <v>16</v>
      </c>
    </row>
    <row r="65" spans="1:22" ht="56" x14ac:dyDescent="0.3">
      <c r="A65" s="10" t="str">
        <f>Questions!$A65</f>
        <v>APPL-02</v>
      </c>
      <c r="B65" s="10" t="str">
        <f t="shared" si="0"/>
        <v>APPL</v>
      </c>
      <c r="C65" s="10" t="str">
        <f>VLOOKUP($A65,Questions!$A$3:$L$333,2,0)&amp;""</f>
        <v>Are you using a web application firewall (WAF)?*</v>
      </c>
      <c r="D65" s="10" t="str">
        <f>VLOOKUP($A65,Questions!$A$3:$L$333,11,0)&amp;""</f>
        <v/>
      </c>
      <c r="E65" s="10" t="str">
        <f>VLOOKUP($A65,Questions!$A$3:$L$333,12,0)&amp;""</f>
        <v>Infrastructure</v>
      </c>
      <c r="F65" s="10" t="str">
        <f>VLOOKUP($A65,'Institution Evaluation'!$A$56:$K$346,3,0)&amp;""</f>
        <v>Yes</v>
      </c>
      <c r="G65" s="10" t="str">
        <f>VLOOKUP($A65,'Institution Evaluation'!$A$56:$K$346,7,0)&amp;""</f>
        <v>Yes</v>
      </c>
      <c r="H65" s="10" t="str">
        <f>VLOOKUP($A65,'Institution Evaluation'!$A$56:$K$346,8,0)&amp;""</f>
        <v/>
      </c>
      <c r="I65" s="10" t="str">
        <f>VLOOKUP($A65,'Institution Evaluation'!$A$56:$K$346,9,0)&amp;""</f>
        <v>Critical Importance</v>
      </c>
      <c r="J65" s="10" t="str">
        <f>VLOOKUP($A65,'Institution Evaluation'!$A$56:$K$346,10,0)&amp;""</f>
        <v/>
      </c>
      <c r="K65" s="10">
        <f t="shared" si="1"/>
        <v>20</v>
      </c>
      <c r="L65" s="114">
        <f>IF($E65="Not Scored", "N/A",IF(AND($D65='Auto Responses'!$J$27,$H65=""),"N/A",IF(AND($D65='Auto Responses'!$J$27,$H65='Auto Responses'!$J$7),1,IF(AND($D65='Auto Responses'!$J$27,$H65='Auto Responses'!$J$8),0,IF(OR($F65=$G65,$H65='Auto Responses'!$J$7),1,0)))))</f>
        <v>1</v>
      </c>
      <c r="M65" s="10" t="str">
        <f>VLOOKUP($A65,'Institution Evaluation'!$A$56:$K$346,10,0)&amp;""</f>
        <v/>
      </c>
      <c r="N65" s="10">
        <f t="shared" si="2"/>
        <v>1</v>
      </c>
      <c r="O65" s="114">
        <f t="shared" ref="O65:O77" si="13">IF(OR($F$17="No",$E65="Not Scored"),"N/A",IF($J65="",$K65,IF($J65="Minor Importance",5,IF($J65="Standard Importance",10,IF($J65="Critical Importance",20,0)))))</f>
        <v>20</v>
      </c>
      <c r="P65" s="114">
        <f t="shared" si="4"/>
        <v>20</v>
      </c>
      <c r="Q65" s="114">
        <f t="shared" si="5"/>
        <v>0</v>
      </c>
      <c r="R65" s="114">
        <f t="shared" si="9"/>
        <v>0</v>
      </c>
      <c r="S65" s="114">
        <f t="shared" si="6"/>
        <v>0</v>
      </c>
      <c r="T65" s="114">
        <f t="shared" si="7"/>
        <v>1</v>
      </c>
      <c r="U65" s="114">
        <f t="shared" si="10"/>
        <v>17</v>
      </c>
      <c r="V65" s="114">
        <f t="shared" si="8"/>
        <v>17</v>
      </c>
    </row>
    <row r="66" spans="1:22" ht="56" x14ac:dyDescent="0.3">
      <c r="A66" s="10" t="str">
        <f>Questions!$A66</f>
        <v>APPL-03</v>
      </c>
      <c r="B66" s="10" t="str">
        <f t="shared" si="0"/>
        <v>APPL</v>
      </c>
      <c r="C66" s="10" t="str">
        <f>VLOOKUP($A66,Questions!$A$3:$L$333,2,0)&amp;""</f>
        <v>Are only currently supported operating system(s), software, and libraries leveraged by the system(s)/application(s) that will have access to institution's data?*</v>
      </c>
      <c r="D66" s="10" t="str">
        <f>VLOOKUP($A66,Questions!$A$3:$L$333,11,0)&amp;""</f>
        <v/>
      </c>
      <c r="E66" s="10" t="str">
        <f>VLOOKUP($A66,Questions!$A$3:$L$333,12,0)&amp;""</f>
        <v>Infrastructure</v>
      </c>
      <c r="F66" s="10" t="str">
        <f>VLOOKUP($A66,'Institution Evaluation'!$A$56:$K$346,3,0)&amp;""</f>
        <v>Yes</v>
      </c>
      <c r="G66" s="10" t="str">
        <f>VLOOKUP($A66,'Institution Evaluation'!$A$56:$K$346,7,0)&amp;""</f>
        <v>Yes</v>
      </c>
      <c r="H66" s="10" t="str">
        <f>VLOOKUP($A66,'Institution Evaluation'!$A$56:$K$346,8,0)&amp;""</f>
        <v/>
      </c>
      <c r="I66" s="10" t="str">
        <f>VLOOKUP($A66,'Institution Evaluation'!$A$56:$K$346,9,0)&amp;""</f>
        <v>Critical Importance</v>
      </c>
      <c r="J66" s="10" t="str">
        <f>VLOOKUP($A66,'Institution Evaluation'!$A$56:$K$346,10,0)&amp;""</f>
        <v/>
      </c>
      <c r="K66" s="10">
        <f t="shared" si="1"/>
        <v>20</v>
      </c>
      <c r="L66" s="114">
        <f>IF($E66="Not Scored", "N/A",IF(AND($D66='Auto Responses'!$J$27,$H66=""),"N/A",IF(AND($D66='Auto Responses'!$J$27,$H66='Auto Responses'!$J$7),1,IF(AND($D66='Auto Responses'!$J$27,$H66='Auto Responses'!$J$8),0,IF(OR($F66=$G66,$H66='Auto Responses'!$J$7),1,0)))))</f>
        <v>1</v>
      </c>
      <c r="M66" s="10" t="str">
        <f>VLOOKUP($A66,'Institution Evaluation'!$A$56:$K$346,10,0)&amp;""</f>
        <v/>
      </c>
      <c r="N66" s="10">
        <f t="shared" si="2"/>
        <v>1</v>
      </c>
      <c r="O66" s="114">
        <f t="shared" si="13"/>
        <v>20</v>
      </c>
      <c r="P66" s="114">
        <f t="shared" si="4"/>
        <v>20</v>
      </c>
      <c r="Q66" s="114">
        <f t="shared" si="5"/>
        <v>0</v>
      </c>
      <c r="R66" s="114">
        <f t="shared" si="9"/>
        <v>0</v>
      </c>
      <c r="S66" s="114">
        <f t="shared" si="6"/>
        <v>0</v>
      </c>
      <c r="T66" s="114">
        <f t="shared" si="7"/>
        <v>1</v>
      </c>
      <c r="U66" s="114">
        <f t="shared" si="10"/>
        <v>18</v>
      </c>
      <c r="V66" s="114">
        <f t="shared" si="8"/>
        <v>18</v>
      </c>
    </row>
    <row r="67" spans="1:22" ht="56" x14ac:dyDescent="0.3">
      <c r="A67" s="10" t="str">
        <f>Questions!$A67</f>
        <v>APPL-04</v>
      </c>
      <c r="B67" s="10" t="str">
        <f t="shared" si="0"/>
        <v>APPL</v>
      </c>
      <c r="C67" s="10" t="str">
        <f>VLOOKUP($A67,Questions!$A$3:$L$333,2,0)&amp;""</f>
        <v>Does your application require access to location or GPS data?</v>
      </c>
      <c r="D67" s="10" t="str">
        <f>VLOOKUP($A67,Questions!$A$3:$L$333,11,0)&amp;""</f>
        <v/>
      </c>
      <c r="E67" s="10" t="str">
        <f>VLOOKUP($A67,Questions!$A$3:$L$333,12,0)&amp;""</f>
        <v>Infrastructure</v>
      </c>
      <c r="F67" s="10" t="str">
        <f>VLOOKUP($A67,'Institution Evaluation'!$A$56:$K$346,3,0)&amp;""</f>
        <v>No</v>
      </c>
      <c r="G67" s="10" t="str">
        <f>VLOOKUP($A67,'Institution Evaluation'!$A$56:$K$346,7,0)&amp;""</f>
        <v>No</v>
      </c>
      <c r="H67" s="10" t="str">
        <f>VLOOKUP($A67,'Institution Evaluation'!$A$56:$K$346,8,0)&amp;""</f>
        <v/>
      </c>
      <c r="I67" s="10" t="str">
        <f>VLOOKUP($A67,'Institution Evaluation'!$A$56:$K$346,9,0)&amp;""</f>
        <v>Critical Importance</v>
      </c>
      <c r="J67" s="10" t="str">
        <f>VLOOKUP($A67,'Institution Evaluation'!$A$56:$K$346,10,0)&amp;""</f>
        <v/>
      </c>
      <c r="K67" s="10">
        <f t="shared" si="1"/>
        <v>20</v>
      </c>
      <c r="L67" s="114">
        <f>IF($E67="Not Scored", "N/A",IF(AND($D67='Auto Responses'!$J$27,$H67=""),"N/A",IF(AND($D67='Auto Responses'!$J$27,$H67='Auto Responses'!$J$7),1,IF(AND($D67='Auto Responses'!$J$27,$H67='Auto Responses'!$J$8),0,IF(OR($F67=$G67,$H67='Auto Responses'!$J$7),1,0)))))</f>
        <v>1</v>
      </c>
      <c r="M67" s="10" t="str">
        <f>VLOOKUP($A67,'Institution Evaluation'!$A$56:$K$346,10,0)&amp;""</f>
        <v/>
      </c>
      <c r="N67" s="10">
        <f t="shared" si="2"/>
        <v>1</v>
      </c>
      <c r="O67" s="114">
        <f t="shared" si="13"/>
        <v>20</v>
      </c>
      <c r="P67" s="114">
        <f t="shared" si="4"/>
        <v>20</v>
      </c>
      <c r="Q67" s="114">
        <f t="shared" ref="Q67:Q129" si="14">IF(M67="TRUE",1,0)</f>
        <v>0</v>
      </c>
      <c r="R67" s="114">
        <f t="shared" si="9"/>
        <v>0</v>
      </c>
      <c r="S67" s="114">
        <f t="shared" ref="S67:S129" si="15">IF(Q67=0,0,R67)</f>
        <v>0</v>
      </c>
      <c r="T67" s="114">
        <f t="shared" ref="T67:T129" si="16">IF(N67=1,1,0)</f>
        <v>1</v>
      </c>
      <c r="U67" s="114">
        <f t="shared" si="10"/>
        <v>19</v>
      </c>
      <c r="V67" s="114">
        <f t="shared" ref="V67:V129" si="17">IF(T67=0,0,U67)</f>
        <v>19</v>
      </c>
    </row>
    <row r="68" spans="1:22" ht="56" x14ac:dyDescent="0.3">
      <c r="A68" s="10" t="str">
        <f>Questions!$A68</f>
        <v>APPL-05</v>
      </c>
      <c r="B68" s="10" t="str">
        <f t="shared" ref="B68:B130" si="18">LEFT(A68,4)</f>
        <v>APPL</v>
      </c>
      <c r="C68" s="10" t="str">
        <f>VLOOKUP($A68,Questions!$A$3:$L$333,2,0)&amp;""</f>
        <v>Does your application provide separation of duties between security administration, system administration, and standard user functions?*</v>
      </c>
      <c r="D68" s="10" t="str">
        <f>VLOOKUP($A68,Questions!$A$3:$L$333,11,0)&amp;""</f>
        <v/>
      </c>
      <c r="E68" s="10" t="str">
        <f>VLOOKUP($A68,Questions!$A$3:$L$333,12,0)&amp;""</f>
        <v>Infrastructure</v>
      </c>
      <c r="F68" s="10" t="str">
        <f>VLOOKUP($A68,'Institution Evaluation'!$A$56:$K$346,3,0)&amp;""</f>
        <v>Yes</v>
      </c>
      <c r="G68" s="10" t="str">
        <f>VLOOKUP($A68,'Institution Evaluation'!$A$56:$K$346,7,0)&amp;""</f>
        <v>Yes</v>
      </c>
      <c r="H68" s="10" t="str">
        <f>VLOOKUP($A68,'Institution Evaluation'!$A$56:$K$346,8,0)&amp;""</f>
        <v/>
      </c>
      <c r="I68" s="10" t="str">
        <f>VLOOKUP($A68,'Institution Evaluation'!$A$56:$K$346,9,0)&amp;""</f>
        <v>Critical Importance</v>
      </c>
      <c r="J68" s="10" t="str">
        <f>VLOOKUP($A68,'Institution Evaluation'!$A$56:$K$346,10,0)&amp;""</f>
        <v/>
      </c>
      <c r="K68" s="10">
        <f t="shared" ref="K68:K130" si="19">IF($I68="Critical Importance",20,IF($I68="Minor Importance",5,10))</f>
        <v>20</v>
      </c>
      <c r="L68" s="114">
        <f>IF($E68="Not Scored", "N/A",IF(AND($D68='Auto Responses'!$J$27,$H68=""),"N/A",IF(AND($D68='Auto Responses'!$J$27,$H68='Auto Responses'!$J$7),1,IF(AND($D68='Auto Responses'!$J$27,$H68='Auto Responses'!$J$8),0,IF(OR($F68=$G68,$H68='Auto Responses'!$J$7),1,0)))))</f>
        <v>1</v>
      </c>
      <c r="M68" s="10" t="str">
        <f>VLOOKUP($A68,'Institution Evaluation'!$A$56:$K$346,10,0)&amp;""</f>
        <v/>
      </c>
      <c r="N68" s="10">
        <f t="shared" ref="N68:N130" si="20">IF($J68="Critical Importance",1,IF(AND($J68="",$I68="Critical Importance"),1,0))</f>
        <v>1</v>
      </c>
      <c r="O68" s="114">
        <f t="shared" si="13"/>
        <v>20</v>
      </c>
      <c r="P68" s="114">
        <f t="shared" ref="P68:P98" si="21">IF(OR($O68="N/A",$L68="N/A"),"N/A",$O68*$L68)</f>
        <v>20</v>
      </c>
      <c r="Q68" s="114">
        <f t="shared" si="14"/>
        <v>0</v>
      </c>
      <c r="R68" s="114">
        <f t="shared" si="9"/>
        <v>0</v>
      </c>
      <c r="S68" s="114">
        <f t="shared" si="15"/>
        <v>0</v>
      </c>
      <c r="T68" s="114">
        <f t="shared" si="16"/>
        <v>1</v>
      </c>
      <c r="U68" s="114">
        <f t="shared" si="10"/>
        <v>20</v>
      </c>
      <c r="V68" s="114">
        <f t="shared" si="17"/>
        <v>20</v>
      </c>
    </row>
    <row r="69" spans="1:22" ht="56" x14ac:dyDescent="0.3">
      <c r="A69" s="10" t="str">
        <f>Questions!$A69</f>
        <v>APPL-06</v>
      </c>
      <c r="B69" s="10" t="str">
        <f t="shared" si="18"/>
        <v>APPL</v>
      </c>
      <c r="C69" s="10" t="str">
        <f>VLOOKUP($A69,Questions!$A$3:$L$333,2,0)&amp;""</f>
        <v>Do you subject your code to static code analysis and/or static application security testing prior to release?*</v>
      </c>
      <c r="D69" s="10" t="str">
        <f>VLOOKUP($A69,Questions!$A$3:$L$333,11,0)&amp;""</f>
        <v/>
      </c>
      <c r="E69" s="10" t="str">
        <f>VLOOKUP($A69,Questions!$A$3:$L$333,12,0)&amp;""</f>
        <v>Infrastructure</v>
      </c>
      <c r="F69" s="10" t="str">
        <f>VLOOKUP($A69,'Institution Evaluation'!$A$56:$K$346,3,0)&amp;""</f>
        <v>Yes</v>
      </c>
      <c r="G69" s="10" t="str">
        <f>VLOOKUP($A69,'Institution Evaluation'!$A$56:$K$346,7,0)&amp;""</f>
        <v>Yes</v>
      </c>
      <c r="H69" s="10" t="str">
        <f>VLOOKUP($A69,'Institution Evaluation'!$A$56:$K$346,8,0)&amp;""</f>
        <v/>
      </c>
      <c r="I69" s="10" t="str">
        <f>VLOOKUP($A69,'Institution Evaluation'!$A$56:$K$346,9,0)&amp;""</f>
        <v>Critical Importance</v>
      </c>
      <c r="J69" s="10" t="str">
        <f>VLOOKUP($A69,'Institution Evaluation'!$A$56:$K$346,10,0)&amp;""</f>
        <v/>
      </c>
      <c r="K69" s="10">
        <f t="shared" si="19"/>
        <v>20</v>
      </c>
      <c r="L69" s="114">
        <f>IF($E69="Not Scored", "N/A",IF(AND($D69='Auto Responses'!$J$27,$H69=""),"N/A",IF(AND($D69='Auto Responses'!$J$27,$H69='Auto Responses'!$J$7),1,IF(AND($D69='Auto Responses'!$J$27,$H69='Auto Responses'!$J$8),0,IF(OR($F69=$G69,$H69='Auto Responses'!$J$7),1,0)))))</f>
        <v>1</v>
      </c>
      <c r="M69" s="10" t="str">
        <f>VLOOKUP($A69,'Institution Evaluation'!$A$56:$K$346,10,0)&amp;""</f>
        <v/>
      </c>
      <c r="N69" s="10">
        <f t="shared" si="20"/>
        <v>1</v>
      </c>
      <c r="O69" s="114">
        <f t="shared" si="13"/>
        <v>20</v>
      </c>
      <c r="P69" s="114">
        <f t="shared" si="21"/>
        <v>20</v>
      </c>
      <c r="Q69" s="114">
        <f t="shared" si="14"/>
        <v>0</v>
      </c>
      <c r="R69" s="114">
        <f t="shared" ref="R69:R132" si="22">R68+Q69</f>
        <v>0</v>
      </c>
      <c r="S69" s="114">
        <f t="shared" si="15"/>
        <v>0</v>
      </c>
      <c r="T69" s="114">
        <f t="shared" si="16"/>
        <v>1</v>
      </c>
      <c r="U69" s="114">
        <f t="shared" ref="U69:U132" si="23">U68+T69</f>
        <v>21</v>
      </c>
      <c r="V69" s="114">
        <f t="shared" si="17"/>
        <v>21</v>
      </c>
    </row>
    <row r="70" spans="1:22" ht="56" x14ac:dyDescent="0.3">
      <c r="A70" s="10" t="str">
        <f>Questions!$A70</f>
        <v>APPL-07</v>
      </c>
      <c r="B70" s="10" t="str">
        <f t="shared" si="18"/>
        <v>APPL</v>
      </c>
      <c r="C70" s="10" t="str">
        <f>VLOOKUP($A70,Questions!$A$3:$L$333,2,0)&amp;""</f>
        <v>Do you have software testing processes (dynamic or static) that are established and followed?*</v>
      </c>
      <c r="D70" s="10" t="str">
        <f>VLOOKUP($A70,Questions!$A$3:$L$333,11,0)&amp;""</f>
        <v/>
      </c>
      <c r="E70" s="10" t="str">
        <f>VLOOKUP($A70,Questions!$A$3:$L$333,12,0)&amp;""</f>
        <v>Infrastructure</v>
      </c>
      <c r="F70" s="10" t="str">
        <f>VLOOKUP($A70,'Institution Evaluation'!$A$56:$K$346,3,0)&amp;""</f>
        <v>Yes</v>
      </c>
      <c r="G70" s="10" t="str">
        <f>VLOOKUP($A70,'Institution Evaluation'!$A$56:$K$346,7,0)&amp;""</f>
        <v>Yes</v>
      </c>
      <c r="H70" s="10" t="str">
        <f>VLOOKUP($A70,'Institution Evaluation'!$A$56:$K$346,8,0)&amp;""</f>
        <v/>
      </c>
      <c r="I70" s="10" t="str">
        <f>VLOOKUP($A70,'Institution Evaluation'!$A$56:$K$346,9,0)&amp;""</f>
        <v>Critical Importance</v>
      </c>
      <c r="J70" s="10" t="str">
        <f>VLOOKUP($A70,'Institution Evaluation'!$A$56:$K$346,10,0)&amp;""</f>
        <v/>
      </c>
      <c r="K70" s="10">
        <f t="shared" si="19"/>
        <v>20</v>
      </c>
      <c r="L70" s="114">
        <f>IF($E70="Not Scored", "N/A",IF(AND($D70='Auto Responses'!$J$27,$H70=""),"N/A",IF(AND($D70='Auto Responses'!$J$27,$H70='Auto Responses'!$J$7),1,IF(AND($D70='Auto Responses'!$J$27,$H70='Auto Responses'!$J$8),0,IF(OR($F70=$G70,$H70='Auto Responses'!$J$7),1,0)))))</f>
        <v>1</v>
      </c>
      <c r="M70" s="10" t="str">
        <f>VLOOKUP($A70,'Institution Evaluation'!$A$56:$K$346,10,0)&amp;""</f>
        <v/>
      </c>
      <c r="N70" s="10">
        <f t="shared" si="20"/>
        <v>1</v>
      </c>
      <c r="O70" s="114">
        <f t="shared" si="13"/>
        <v>20</v>
      </c>
      <c r="P70" s="114">
        <f t="shared" si="21"/>
        <v>20</v>
      </c>
      <c r="Q70" s="114">
        <f t="shared" si="14"/>
        <v>0</v>
      </c>
      <c r="R70" s="114">
        <f t="shared" si="22"/>
        <v>0</v>
      </c>
      <c r="S70" s="114">
        <f t="shared" si="15"/>
        <v>0</v>
      </c>
      <c r="T70" s="114">
        <f t="shared" si="16"/>
        <v>1</v>
      </c>
      <c r="U70" s="114">
        <f t="shared" si="23"/>
        <v>22</v>
      </c>
      <c r="V70" s="114">
        <f t="shared" si="17"/>
        <v>22</v>
      </c>
    </row>
    <row r="71" spans="1:22" ht="56" x14ac:dyDescent="0.3">
      <c r="A71" s="10" t="str">
        <f>Questions!$A71</f>
        <v>APPL-08</v>
      </c>
      <c r="B71" s="10" t="str">
        <f t="shared" si="18"/>
        <v>APPL</v>
      </c>
      <c r="C71" s="10" t="str">
        <f>VLOOKUP($A71,Questions!$A$3:$L$333,2,0)&amp;""</f>
        <v>Are access controls for staff within your organization based on structured rules, such as RBAC, ABAC, or PBAC?</v>
      </c>
      <c r="D71" s="10" t="str">
        <f>VLOOKUP($A71,Questions!$A$3:$L$333,11,0)&amp;""</f>
        <v/>
      </c>
      <c r="E71" s="10" t="str">
        <f>VLOOKUP($A71,Questions!$A$3:$L$333,12,0)&amp;""</f>
        <v>Infrastructure</v>
      </c>
      <c r="F71" s="10" t="str">
        <f>VLOOKUP($A71,'Institution Evaluation'!$A$56:$K$346,3,0)&amp;""</f>
        <v>Yes</v>
      </c>
      <c r="G71" s="10" t="str">
        <f>VLOOKUP($A71,'Institution Evaluation'!$A$56:$K$346,7,0)&amp;""</f>
        <v>Yes</v>
      </c>
      <c r="H71" s="10" t="str">
        <f>VLOOKUP($A71,'Institution Evaluation'!$A$56:$K$346,8,0)&amp;""</f>
        <v/>
      </c>
      <c r="I71" s="10" t="str">
        <f>VLOOKUP($A71,'Institution Evaluation'!$A$56:$K$346,9,0)&amp;""</f>
        <v>Standard Importance</v>
      </c>
      <c r="J71" s="10" t="str">
        <f>VLOOKUP($A71,'Institution Evaluation'!$A$56:$K$346,10,0)&amp;""</f>
        <v/>
      </c>
      <c r="K71" s="10">
        <f t="shared" si="19"/>
        <v>10</v>
      </c>
      <c r="L71" s="114">
        <f>IF($E71="Not Scored", "N/A",IF(AND($D71='Auto Responses'!$J$27,$H71=""),"N/A",IF(AND($D71='Auto Responses'!$J$27,$H71='Auto Responses'!$J$7),1,IF(AND($D71='Auto Responses'!$J$27,$H71='Auto Responses'!$J$8),0,IF(OR($F71=$G71,$H71='Auto Responses'!$J$7),1,0)))))</f>
        <v>1</v>
      </c>
      <c r="M71" s="10" t="str">
        <f>VLOOKUP($A71,'Institution Evaluation'!$A$56:$K$346,10,0)&amp;""</f>
        <v/>
      </c>
      <c r="N71" s="10">
        <f t="shared" si="20"/>
        <v>0</v>
      </c>
      <c r="O71" s="114">
        <f t="shared" si="13"/>
        <v>10</v>
      </c>
      <c r="P71" s="114">
        <f t="shared" si="21"/>
        <v>10</v>
      </c>
      <c r="Q71" s="114">
        <f t="shared" si="14"/>
        <v>0</v>
      </c>
      <c r="R71" s="114">
        <f t="shared" si="22"/>
        <v>0</v>
      </c>
      <c r="S71" s="114">
        <f t="shared" si="15"/>
        <v>0</v>
      </c>
      <c r="T71" s="114">
        <f t="shared" si="16"/>
        <v>0</v>
      </c>
      <c r="U71" s="114">
        <f t="shared" si="23"/>
        <v>22</v>
      </c>
      <c r="V71" s="114">
        <f t="shared" si="17"/>
        <v>0</v>
      </c>
    </row>
    <row r="72" spans="1:22" ht="56" x14ac:dyDescent="0.3">
      <c r="A72" s="10" t="str">
        <f>Questions!$A72</f>
        <v>APPL-09</v>
      </c>
      <c r="B72" s="10" t="str">
        <f t="shared" si="18"/>
        <v>APPL</v>
      </c>
      <c r="C72" s="10" t="str">
        <f>VLOOKUP($A72,Questions!$A$3:$L$333,2,0)&amp;""</f>
        <v>Does the system provide data input validation and error messages?</v>
      </c>
      <c r="D72" s="10" t="str">
        <f>VLOOKUP($A72,Questions!$A$3:$L$333,11,0)&amp;""</f>
        <v/>
      </c>
      <c r="E72" s="10" t="str">
        <f>VLOOKUP($A72,Questions!$A$3:$L$333,12,0)&amp;""</f>
        <v>Infrastructure</v>
      </c>
      <c r="F72" s="10" t="str">
        <f>VLOOKUP($A72,'Institution Evaluation'!$A$56:$K$346,3,0)&amp;""</f>
        <v>Yes</v>
      </c>
      <c r="G72" s="10" t="str">
        <f>VLOOKUP($A72,'Institution Evaluation'!$A$56:$K$346,7,0)&amp;""</f>
        <v>Yes</v>
      </c>
      <c r="H72" s="10" t="str">
        <f>VLOOKUP($A72,'Institution Evaluation'!$A$56:$K$346,8,0)&amp;""</f>
        <v/>
      </c>
      <c r="I72" s="10" t="str">
        <f>VLOOKUP($A72,'Institution Evaluation'!$A$56:$K$346,9,0)&amp;""</f>
        <v>Standard Importance</v>
      </c>
      <c r="J72" s="10" t="str">
        <f>VLOOKUP($A72,'Institution Evaluation'!$A$56:$K$346,10,0)&amp;""</f>
        <v/>
      </c>
      <c r="K72" s="10">
        <f t="shared" si="19"/>
        <v>10</v>
      </c>
      <c r="L72" s="114">
        <f>IF($E72="Not Scored", "N/A",IF(AND($D72='Auto Responses'!$J$27,$H72=""),"N/A",IF(AND($D72='Auto Responses'!$J$27,$H72='Auto Responses'!$J$7),1,IF(AND($D72='Auto Responses'!$J$27,$H72='Auto Responses'!$J$8),0,IF(OR($F72=$G72,$H72='Auto Responses'!$J$7),1,0)))))</f>
        <v>1</v>
      </c>
      <c r="M72" s="10" t="str">
        <f>VLOOKUP($A72,'Institution Evaluation'!$A$56:$K$346,10,0)&amp;""</f>
        <v/>
      </c>
      <c r="N72" s="10">
        <f t="shared" si="20"/>
        <v>0</v>
      </c>
      <c r="O72" s="114">
        <f t="shared" si="13"/>
        <v>10</v>
      </c>
      <c r="P72" s="114">
        <f t="shared" si="21"/>
        <v>10</v>
      </c>
      <c r="Q72" s="114">
        <f t="shared" si="14"/>
        <v>0</v>
      </c>
      <c r="R72" s="114">
        <f t="shared" si="22"/>
        <v>0</v>
      </c>
      <c r="S72" s="114">
        <f t="shared" si="15"/>
        <v>0</v>
      </c>
      <c r="T72" s="114">
        <f t="shared" si="16"/>
        <v>0</v>
      </c>
      <c r="U72" s="114">
        <f t="shared" si="23"/>
        <v>22</v>
      </c>
      <c r="V72" s="114">
        <f t="shared" si="17"/>
        <v>0</v>
      </c>
    </row>
    <row r="73" spans="1:22" ht="56" x14ac:dyDescent="0.3">
      <c r="A73" s="10" t="str">
        <f>Questions!$A73</f>
        <v>APPL-10</v>
      </c>
      <c r="B73" s="10" t="str">
        <f t="shared" si="18"/>
        <v>APPL</v>
      </c>
      <c r="C73" s="10" t="str">
        <f>VLOOKUP($A73,Questions!$A$3:$L$333,2,0)&amp;""</f>
        <v>Do you have a process and implemented procedures for managing your software supply chain (e.g., libraries, repositories, frameworks, etc.)</v>
      </c>
      <c r="D73" s="10" t="str">
        <f>VLOOKUP($A73,Questions!$A$3:$L$333,11,0)&amp;""</f>
        <v/>
      </c>
      <c r="E73" s="10" t="str">
        <f>VLOOKUP($A73,Questions!$A$3:$L$333,12,0)&amp;""</f>
        <v>Infrastructure</v>
      </c>
      <c r="F73" s="10" t="str">
        <f>VLOOKUP($A73,'Institution Evaluation'!$A$56:$K$346,3,0)&amp;""</f>
        <v>Yes</v>
      </c>
      <c r="G73" s="10" t="str">
        <f>VLOOKUP($A73,'Institution Evaluation'!$A$56:$K$346,7,0)&amp;""</f>
        <v>Yes</v>
      </c>
      <c r="H73" s="10" t="str">
        <f>VLOOKUP($A73,'Institution Evaluation'!$A$56:$K$346,8,0)&amp;""</f>
        <v/>
      </c>
      <c r="I73" s="10" t="str">
        <f>VLOOKUP($A73,'Institution Evaluation'!$A$56:$K$346,9,0)&amp;""</f>
        <v>Standard Importance</v>
      </c>
      <c r="J73" s="10" t="str">
        <f>VLOOKUP($A73,'Institution Evaluation'!$A$56:$K$346,10,0)&amp;""</f>
        <v/>
      </c>
      <c r="K73" s="10">
        <f t="shared" si="19"/>
        <v>10</v>
      </c>
      <c r="L73" s="114">
        <f>IF($E73="Not Scored", "N/A",IF(AND($D73='Auto Responses'!$J$27,$H73=""),"N/A",IF(AND($D73='Auto Responses'!$J$27,$H73='Auto Responses'!$J$7),1,IF(AND($D73='Auto Responses'!$J$27,$H73='Auto Responses'!$J$8),0,IF(OR($F73=$G73,$H73='Auto Responses'!$J$7),1,0)))))</f>
        <v>1</v>
      </c>
      <c r="M73" s="10" t="str">
        <f>VLOOKUP($A73,'Institution Evaluation'!$A$56:$K$346,10,0)&amp;""</f>
        <v/>
      </c>
      <c r="N73" s="10">
        <f t="shared" si="20"/>
        <v>0</v>
      </c>
      <c r="O73" s="114">
        <f t="shared" si="13"/>
        <v>10</v>
      </c>
      <c r="P73" s="114">
        <f t="shared" si="21"/>
        <v>10</v>
      </c>
      <c r="Q73" s="114">
        <f t="shared" si="14"/>
        <v>0</v>
      </c>
      <c r="R73" s="114">
        <f t="shared" si="22"/>
        <v>0</v>
      </c>
      <c r="S73" s="114">
        <f t="shared" si="15"/>
        <v>0</v>
      </c>
      <c r="T73" s="114">
        <f t="shared" si="16"/>
        <v>0</v>
      </c>
      <c r="U73" s="114">
        <f t="shared" si="23"/>
        <v>22</v>
      </c>
      <c r="V73" s="114">
        <f t="shared" si="17"/>
        <v>0</v>
      </c>
    </row>
    <row r="74" spans="1:22" ht="56" x14ac:dyDescent="0.3">
      <c r="A74" s="10" t="str">
        <f>Questions!$A74</f>
        <v>APPL-11</v>
      </c>
      <c r="B74" s="10" t="str">
        <f t="shared" si="18"/>
        <v>APPL</v>
      </c>
      <c r="C74" s="10" t="str">
        <f>VLOOKUP($A74,Questions!$A$3:$L$333,2,0)&amp;""</f>
        <v>Have your developers been trained in secure coding techniques?</v>
      </c>
      <c r="D74" s="10" t="str">
        <f>VLOOKUP($A74,Questions!$A$3:$L$333,11,0)&amp;""</f>
        <v/>
      </c>
      <c r="E74" s="10" t="str">
        <f>VLOOKUP($A74,Questions!$A$3:$L$333,12,0)&amp;""</f>
        <v>Infrastructure</v>
      </c>
      <c r="F74" s="10" t="str">
        <f>VLOOKUP($A74,'Institution Evaluation'!$A$56:$K$346,3,0)&amp;""</f>
        <v>Yes</v>
      </c>
      <c r="G74" s="10" t="str">
        <f>VLOOKUP($A74,'Institution Evaluation'!$A$56:$K$346,7,0)&amp;""</f>
        <v>Yes</v>
      </c>
      <c r="H74" s="10" t="str">
        <f>VLOOKUP($A74,'Institution Evaluation'!$A$56:$K$346,8,0)&amp;""</f>
        <v/>
      </c>
      <c r="I74" s="10" t="str">
        <f>VLOOKUP($A74,'Institution Evaluation'!$A$56:$K$346,9,0)&amp;""</f>
        <v>Standard Importance</v>
      </c>
      <c r="J74" s="10" t="str">
        <f>VLOOKUP($A74,'Institution Evaluation'!$A$56:$K$346,10,0)&amp;""</f>
        <v/>
      </c>
      <c r="K74" s="10">
        <f t="shared" si="19"/>
        <v>10</v>
      </c>
      <c r="L74" s="114">
        <f>IF($E74="Not Scored", "N/A",IF(AND($D74='Auto Responses'!$J$27,$H74=""),"N/A",IF(AND($D74='Auto Responses'!$J$27,$H74='Auto Responses'!$J$7),1,IF(AND($D74='Auto Responses'!$J$27,$H74='Auto Responses'!$J$8),0,IF(OR($F74=$G74,$H74='Auto Responses'!$J$7),1,0)))))</f>
        <v>1</v>
      </c>
      <c r="M74" s="10" t="str">
        <f>VLOOKUP($A74,'Institution Evaluation'!$A$56:$K$346,10,0)&amp;""</f>
        <v/>
      </c>
      <c r="N74" s="10">
        <f t="shared" si="20"/>
        <v>0</v>
      </c>
      <c r="O74" s="114">
        <f t="shared" si="13"/>
        <v>10</v>
      </c>
      <c r="P74" s="114">
        <f t="shared" si="21"/>
        <v>10</v>
      </c>
      <c r="Q74" s="114">
        <f t="shared" si="14"/>
        <v>0</v>
      </c>
      <c r="R74" s="114">
        <f t="shared" si="22"/>
        <v>0</v>
      </c>
      <c r="S74" s="114">
        <f t="shared" si="15"/>
        <v>0</v>
      </c>
      <c r="T74" s="114">
        <f t="shared" si="16"/>
        <v>0</v>
      </c>
      <c r="U74" s="114">
        <f t="shared" si="23"/>
        <v>22</v>
      </c>
      <c r="V74" s="114">
        <f t="shared" si="17"/>
        <v>0</v>
      </c>
    </row>
    <row r="75" spans="1:22" ht="56" x14ac:dyDescent="0.3">
      <c r="A75" s="10" t="str">
        <f>Questions!$A75</f>
        <v>APPL-12</v>
      </c>
      <c r="B75" s="10" t="str">
        <f t="shared" si="18"/>
        <v>APPL</v>
      </c>
      <c r="C75" s="10" t="str">
        <f>VLOOKUP($A75,Questions!$A$3:$L$333,2,0)&amp;""</f>
        <v>Was your application developed using secure coding techniques?</v>
      </c>
      <c r="D75" s="10" t="str">
        <f>VLOOKUP($A75,Questions!$A$3:$L$333,11,0)&amp;""</f>
        <v/>
      </c>
      <c r="E75" s="10" t="str">
        <f>VLOOKUP($A75,Questions!$A$3:$L$333,12,0)&amp;""</f>
        <v>Infrastructure</v>
      </c>
      <c r="F75" s="10" t="str">
        <f>VLOOKUP($A75,'Institution Evaluation'!$A$56:$K$346,3,0)&amp;""</f>
        <v>Yes</v>
      </c>
      <c r="G75" s="10" t="str">
        <f>VLOOKUP($A75,'Institution Evaluation'!$A$56:$K$346,7,0)&amp;""</f>
        <v>Yes</v>
      </c>
      <c r="H75" s="10" t="str">
        <f>VLOOKUP($A75,'Institution Evaluation'!$A$56:$K$346,8,0)&amp;""</f>
        <v/>
      </c>
      <c r="I75" s="10" t="str">
        <f>VLOOKUP($A75,'Institution Evaluation'!$A$56:$K$346,9,0)&amp;""</f>
        <v>Standard Importance</v>
      </c>
      <c r="J75" s="10" t="str">
        <f>VLOOKUP($A75,'Institution Evaluation'!$A$56:$K$346,10,0)&amp;""</f>
        <v/>
      </c>
      <c r="K75" s="10">
        <f t="shared" si="19"/>
        <v>10</v>
      </c>
      <c r="L75" s="114">
        <f>IF($E75="Not Scored", "N/A",IF(AND($D75='Auto Responses'!$J$27,$H75=""),"N/A",IF(AND($D75='Auto Responses'!$J$27,$H75='Auto Responses'!$J$7),1,IF(AND($D75='Auto Responses'!$J$27,$H75='Auto Responses'!$J$8),0,IF(OR($F75=$G75,$H75='Auto Responses'!$J$7),1,0)))))</f>
        <v>1</v>
      </c>
      <c r="M75" s="10" t="str">
        <f>VLOOKUP($A75,'Institution Evaluation'!$A$56:$K$346,10,0)&amp;""</f>
        <v/>
      </c>
      <c r="N75" s="10">
        <f t="shared" si="20"/>
        <v>0</v>
      </c>
      <c r="O75" s="114">
        <f t="shared" si="13"/>
        <v>10</v>
      </c>
      <c r="P75" s="114">
        <f t="shared" si="21"/>
        <v>10</v>
      </c>
      <c r="Q75" s="114">
        <f t="shared" si="14"/>
        <v>0</v>
      </c>
      <c r="R75" s="114">
        <f t="shared" si="22"/>
        <v>0</v>
      </c>
      <c r="S75" s="114">
        <f t="shared" si="15"/>
        <v>0</v>
      </c>
      <c r="T75" s="114">
        <f t="shared" si="16"/>
        <v>0</v>
      </c>
      <c r="U75" s="114">
        <f t="shared" si="23"/>
        <v>22</v>
      </c>
      <c r="V75" s="114">
        <f t="shared" si="17"/>
        <v>0</v>
      </c>
    </row>
    <row r="76" spans="1:22" ht="56" x14ac:dyDescent="0.3">
      <c r="A76" s="10" t="str">
        <f>Questions!$A76</f>
        <v>APPL-13</v>
      </c>
      <c r="B76" s="10" t="str">
        <f t="shared" si="18"/>
        <v>APPL</v>
      </c>
      <c r="C76" s="10" t="str">
        <f>VLOOKUP($A76,Questions!$A$3:$L$333,2,0)&amp;""</f>
        <v>If mobile, is the application available from a trusted source (e.g., App Store, Google Play Store)?</v>
      </c>
      <c r="D76" s="10" t="str">
        <f>VLOOKUP($A76,Questions!$A$3:$L$333,11,0)&amp;""</f>
        <v/>
      </c>
      <c r="E76" s="10" t="str">
        <f>VLOOKUP($A76,Questions!$A$3:$L$333,12,0)&amp;""</f>
        <v>Infrastructure</v>
      </c>
      <c r="F76" s="10" t="str">
        <f>VLOOKUP($A76,'Institution Evaluation'!$A$56:$K$346,3,0)&amp;""</f>
        <v>Yes</v>
      </c>
      <c r="G76" s="10" t="str">
        <f>VLOOKUP($A76,'Institution Evaluation'!$A$56:$K$346,7,0)&amp;""</f>
        <v>Yes</v>
      </c>
      <c r="H76" s="10" t="str">
        <f>VLOOKUP($A76,'Institution Evaluation'!$A$56:$K$346,8,0)&amp;""</f>
        <v/>
      </c>
      <c r="I76" s="10" t="str">
        <f>VLOOKUP($A76,'Institution Evaluation'!$A$56:$K$346,9,0)&amp;""</f>
        <v>Minor Importance</v>
      </c>
      <c r="J76" s="10" t="str">
        <f>VLOOKUP($A76,'Institution Evaluation'!$A$56:$K$346,10,0)&amp;""</f>
        <v/>
      </c>
      <c r="K76" s="10">
        <f t="shared" si="19"/>
        <v>5</v>
      </c>
      <c r="L76" s="114">
        <f>IF($E76="Not Scored", "N/A",IF(AND($D76='Auto Responses'!$J$27,$H76=""),"N/A",IF(AND($D76='Auto Responses'!$J$27,$H76='Auto Responses'!$J$7),1,IF(AND($D76='Auto Responses'!$J$27,$H76='Auto Responses'!$J$8),0,IF(OR($F76=$G76,$H76='Auto Responses'!$J$7),1,0)))))</f>
        <v>1</v>
      </c>
      <c r="M76" s="10" t="str">
        <f>VLOOKUP($A76,'Institution Evaluation'!$A$56:$K$346,10,0)&amp;""</f>
        <v/>
      </c>
      <c r="N76" s="10">
        <f t="shared" si="20"/>
        <v>0</v>
      </c>
      <c r="O76" s="114">
        <f>IF(OR($F$17="No",$E76="Not Scored",$F76="N/A"),"N/A",IF($J76="",$K76,IF($J76="Minor Importance",5,IF($J76="Standard Importance",10,IF($J76="Critical Importance",20,0)))))</f>
        <v>5</v>
      </c>
      <c r="P76" s="114">
        <f t="shared" si="21"/>
        <v>5</v>
      </c>
      <c r="Q76" s="114">
        <f t="shared" si="14"/>
        <v>0</v>
      </c>
      <c r="R76" s="114">
        <f t="shared" si="22"/>
        <v>0</v>
      </c>
      <c r="S76" s="114">
        <f t="shared" si="15"/>
        <v>0</v>
      </c>
      <c r="T76" s="114">
        <f t="shared" si="16"/>
        <v>0</v>
      </c>
      <c r="U76" s="114">
        <f t="shared" si="23"/>
        <v>22</v>
      </c>
      <c r="V76" s="114">
        <f t="shared" si="17"/>
        <v>0</v>
      </c>
    </row>
    <row r="77" spans="1:22" ht="56" x14ac:dyDescent="0.3">
      <c r="A77" s="10" t="str">
        <f>Questions!$A77</f>
        <v>APPL-14</v>
      </c>
      <c r="B77" s="10" t="str">
        <f t="shared" si="18"/>
        <v>APPL</v>
      </c>
      <c r="C77" s="10" t="str">
        <f>VLOOKUP($A77,Questions!$A$3:$L$333,2,0)&amp;""</f>
        <v>Do you have a fully implemented policy or procedure that details how your employees obtain administrator access to institutional instance of the application?</v>
      </c>
      <c r="D77" s="10" t="str">
        <f>VLOOKUP($A77,Questions!$A$3:$L$333,11,0)&amp;""</f>
        <v/>
      </c>
      <c r="E77" s="10" t="str">
        <f>VLOOKUP($A77,Questions!$A$3:$L$333,12,0)&amp;""</f>
        <v>Infrastructure</v>
      </c>
      <c r="F77" s="10" t="str">
        <f>VLOOKUP($A77,'Institution Evaluation'!$A$56:$K$346,3,0)&amp;""</f>
        <v>Yes</v>
      </c>
      <c r="G77" s="10" t="str">
        <f>VLOOKUP($A77,'Institution Evaluation'!$A$56:$K$346,7,0)&amp;""</f>
        <v>Yes</v>
      </c>
      <c r="H77" s="10" t="str">
        <f>VLOOKUP($A77,'Institution Evaluation'!$A$56:$K$346,8,0)&amp;""</f>
        <v/>
      </c>
      <c r="I77" s="10" t="str">
        <f>VLOOKUP($A77,'Institution Evaluation'!$A$56:$K$346,9,0)&amp;""</f>
        <v>Minor Importance</v>
      </c>
      <c r="J77" s="10" t="str">
        <f>VLOOKUP($A77,'Institution Evaluation'!$A$56:$K$346,10,0)&amp;""</f>
        <v/>
      </c>
      <c r="K77" s="10">
        <f t="shared" si="19"/>
        <v>5</v>
      </c>
      <c r="L77" s="114">
        <f>IF($E77="Not Scored", "N/A",IF(AND($D77='Auto Responses'!$J$27,$H77=""),"N/A",IF(AND($D77='Auto Responses'!$J$27,$H77='Auto Responses'!$J$7),1,IF(AND($D77='Auto Responses'!$J$27,$H77='Auto Responses'!$J$8),0,IF(OR($F77=$G77,$H77='Auto Responses'!$J$7),1,0)))))</f>
        <v>1</v>
      </c>
      <c r="M77" s="10" t="str">
        <f>VLOOKUP($A77,'Institution Evaluation'!$A$56:$K$346,10,0)&amp;""</f>
        <v/>
      </c>
      <c r="N77" s="10">
        <f t="shared" si="20"/>
        <v>0</v>
      </c>
      <c r="O77" s="114">
        <f t="shared" si="13"/>
        <v>5</v>
      </c>
      <c r="P77" s="114">
        <f t="shared" si="21"/>
        <v>5</v>
      </c>
      <c r="Q77" s="114">
        <f t="shared" si="14"/>
        <v>0</v>
      </c>
      <c r="R77" s="114">
        <f t="shared" si="22"/>
        <v>0</v>
      </c>
      <c r="S77" s="114">
        <f t="shared" si="15"/>
        <v>0</v>
      </c>
      <c r="T77" s="114">
        <f t="shared" si="16"/>
        <v>0</v>
      </c>
      <c r="U77" s="114">
        <f t="shared" si="23"/>
        <v>22</v>
      </c>
      <c r="V77" s="114">
        <f t="shared" si="17"/>
        <v>0</v>
      </c>
    </row>
    <row r="78" spans="1:22" ht="56" x14ac:dyDescent="0.3">
      <c r="A78" s="10" t="str">
        <f>Questions!$A78</f>
        <v>AAAI-01</v>
      </c>
      <c r="B78" s="10" t="str">
        <f t="shared" si="18"/>
        <v>AAAI</v>
      </c>
      <c r="C78" s="10" t="str">
        <f>VLOOKUP($A78,Questions!$A$3:$L$333,2,0)&amp;""</f>
        <v>Does your solution support single sign-on (SSO) protocols for user and administrator authentication?*</v>
      </c>
      <c r="D78" s="10" t="str">
        <f>VLOOKUP($A78,Questions!$A$3:$L$333,11,0)&amp;""</f>
        <v/>
      </c>
      <c r="E78" s="10" t="str">
        <f>VLOOKUP($A78,Questions!$A$3:$L$333,12,0)&amp;""</f>
        <v>Product</v>
      </c>
      <c r="F78" s="10" t="str">
        <f>VLOOKUP($A78,'Institution Evaluation'!$A$56:$K$346,3,0)&amp;""</f>
        <v>Yes</v>
      </c>
      <c r="G78" s="10" t="str">
        <f>VLOOKUP($A78,'Institution Evaluation'!$A$56:$K$346,7,0)&amp;""</f>
        <v>Yes</v>
      </c>
      <c r="H78" s="10" t="str">
        <f>VLOOKUP($A78,'Institution Evaluation'!$A$56:$K$346,8,0)&amp;""</f>
        <v/>
      </c>
      <c r="I78" s="10" t="str">
        <f>VLOOKUP($A78,'Institution Evaluation'!$A$56:$K$346,9,0)&amp;""</f>
        <v>Critical Importance</v>
      </c>
      <c r="J78" s="10" t="str">
        <f>VLOOKUP($A78,'Institution Evaluation'!$A$56:$K$346,10,0)&amp;""</f>
        <v/>
      </c>
      <c r="K78" s="10">
        <f t="shared" si="19"/>
        <v>20</v>
      </c>
      <c r="L78" s="114">
        <f>IF($E78="Not Scored", "N/A",IF(AND($D78='Auto Responses'!$J$27,$H78=""),"N/A",IF(AND($D78='Auto Responses'!$J$27,$H78='Auto Responses'!$J$7),1,IF(AND($D78='Auto Responses'!$J$27,$H78='Auto Responses'!$J$8),0,IF(OR($F78=$G78,$H78='Auto Responses'!$J$7),1,0)))))</f>
        <v>1</v>
      </c>
      <c r="M78" s="10" t="str">
        <f>VLOOKUP($A78,'Institution Evaluation'!$A$56:$K$346,10,0)&amp;""</f>
        <v/>
      </c>
      <c r="N78" s="10">
        <f t="shared" si="20"/>
        <v>1</v>
      </c>
      <c r="O78" s="114">
        <f t="shared" ref="O78:O130" si="24">IF($E78="Not Scored","N/A",IF($J78="",$K78,IF($J78="Minor Importance",5,IF($J78="Standard Importance",10,IF($J78="Critical Importance",20,0)))))</f>
        <v>20</v>
      </c>
      <c r="P78" s="114">
        <f t="shared" si="21"/>
        <v>20</v>
      </c>
      <c r="Q78" s="114">
        <f t="shared" si="14"/>
        <v>0</v>
      </c>
      <c r="R78" s="114">
        <f t="shared" si="22"/>
        <v>0</v>
      </c>
      <c r="S78" s="114">
        <f t="shared" si="15"/>
        <v>0</v>
      </c>
      <c r="T78" s="114">
        <f t="shared" si="16"/>
        <v>1</v>
      </c>
      <c r="U78" s="114">
        <f t="shared" si="23"/>
        <v>23</v>
      </c>
      <c r="V78" s="114">
        <f t="shared" si="17"/>
        <v>23</v>
      </c>
    </row>
    <row r="79" spans="1:22" ht="56" x14ac:dyDescent="0.3">
      <c r="A79" s="10" t="str">
        <f>Questions!$A79</f>
        <v>AAAI-02</v>
      </c>
      <c r="B79" s="10" t="str">
        <f t="shared" si="18"/>
        <v>AAAI</v>
      </c>
      <c r="C79" s="10" t="str">
        <f>VLOOKUP($A79,Questions!$A$3:$L$333,2,0)&amp;""</f>
        <v>For customers not using SSO, does your solution support local authentication protocols for user and administrator authentication?*</v>
      </c>
      <c r="D79" s="10" t="str">
        <f>VLOOKUP($A79,Questions!$A$3:$L$333,11,0)&amp;""</f>
        <v/>
      </c>
      <c r="E79" s="10" t="str">
        <f>VLOOKUP($A79,Questions!$A$3:$L$333,12,0)&amp;""</f>
        <v>Product</v>
      </c>
      <c r="F79" s="10" t="str">
        <f>VLOOKUP($A79,'Institution Evaluation'!$A$56:$K$346,3,0)&amp;""</f>
        <v>No</v>
      </c>
      <c r="G79" s="10" t="str">
        <f>VLOOKUP($A79,'Institution Evaluation'!$A$56:$K$346,7,0)&amp;""</f>
        <v>Yes</v>
      </c>
      <c r="H79" s="10" t="str">
        <f>VLOOKUP($A79,'Institution Evaluation'!$A$56:$K$346,8,0)&amp;""</f>
        <v/>
      </c>
      <c r="I79" s="10" t="str">
        <f>VLOOKUP($A79,'Institution Evaluation'!$A$56:$K$346,9,0)&amp;""</f>
        <v>Critical Importance</v>
      </c>
      <c r="J79" s="10" t="str">
        <f>VLOOKUP($A79,'Institution Evaluation'!$A$56:$K$346,10,0)&amp;""</f>
        <v/>
      </c>
      <c r="K79" s="10">
        <f t="shared" si="19"/>
        <v>20</v>
      </c>
      <c r="L79" s="114">
        <f>IF($E79="Not Scored", "N/A",IF(AND($D79='Auto Responses'!$J$27,$H79=""),"N/A",IF(AND($D79='Auto Responses'!$J$27,$H79='Auto Responses'!$J$7),1,IF(AND($D79='Auto Responses'!$J$27,$H79='Auto Responses'!$J$8),0,IF(OR($F79=$G79,$H79='Auto Responses'!$J$7),1,0)))))</f>
        <v>0</v>
      </c>
      <c r="M79" s="10" t="str">
        <f>VLOOKUP($A79,'Institution Evaluation'!$A$56:$K$346,10,0)&amp;""</f>
        <v/>
      </c>
      <c r="N79" s="10">
        <f t="shared" si="20"/>
        <v>1</v>
      </c>
      <c r="O79" s="114">
        <f t="shared" si="24"/>
        <v>20</v>
      </c>
      <c r="P79" s="114">
        <f t="shared" si="21"/>
        <v>0</v>
      </c>
      <c r="Q79" s="114">
        <f t="shared" si="14"/>
        <v>0</v>
      </c>
      <c r="R79" s="114">
        <f t="shared" si="22"/>
        <v>0</v>
      </c>
      <c r="S79" s="114">
        <f t="shared" si="15"/>
        <v>0</v>
      </c>
      <c r="T79" s="114">
        <f t="shared" si="16"/>
        <v>1</v>
      </c>
      <c r="U79" s="114">
        <f t="shared" si="23"/>
        <v>24</v>
      </c>
      <c r="V79" s="114">
        <f t="shared" si="17"/>
        <v>24</v>
      </c>
    </row>
    <row r="80" spans="1:22" ht="56" x14ac:dyDescent="0.3">
      <c r="A80" s="10" t="str">
        <f>Questions!$A80</f>
        <v>AAAI-03</v>
      </c>
      <c r="B80" s="10" t="str">
        <f t="shared" si="18"/>
        <v>AAAI</v>
      </c>
      <c r="C80" s="10" t="str">
        <f>VLOOKUP($A80,Questions!$A$3:$L$333,2,0)&amp;""</f>
        <v>For customers not using SSO, can you enforce password/passphrase complexity requirements (provided by the institution)?*</v>
      </c>
      <c r="D80" s="10" t="str">
        <f>VLOOKUP($A80,Questions!$A$3:$L$333,11,0)&amp;""</f>
        <v/>
      </c>
      <c r="E80" s="10" t="str">
        <f>VLOOKUP($A80,Questions!$A$3:$L$333,12,0)&amp;""</f>
        <v>Product</v>
      </c>
      <c r="F80" s="10" t="str">
        <f>VLOOKUP($A80,'Institution Evaluation'!$A$56:$K$346,3,0)&amp;""</f>
        <v>Yes</v>
      </c>
      <c r="G80" s="10" t="str">
        <f>VLOOKUP($A80,'Institution Evaluation'!$A$56:$K$346,7,0)&amp;""</f>
        <v>Yes</v>
      </c>
      <c r="H80" s="10" t="str">
        <f>VLOOKUP($A80,'Institution Evaluation'!$A$56:$K$346,8,0)&amp;""</f>
        <v/>
      </c>
      <c r="I80" s="10" t="str">
        <f>VLOOKUP($A80,'Institution Evaluation'!$A$56:$K$346,9,0)&amp;""</f>
        <v>Critical Importance</v>
      </c>
      <c r="J80" s="10" t="str">
        <f>VLOOKUP($A80,'Institution Evaluation'!$A$56:$K$346,10,0)&amp;""</f>
        <v/>
      </c>
      <c r="K80" s="10">
        <f t="shared" si="19"/>
        <v>20</v>
      </c>
      <c r="L80" s="114">
        <f>IF($E80="Not Scored", "N/A",IF(AND($D80='Auto Responses'!$J$27,$H80=""),"N/A",IF(AND($D80='Auto Responses'!$J$27,$H80='Auto Responses'!$J$7),1,IF(AND($D80='Auto Responses'!$J$27,$H80='Auto Responses'!$J$8),0,IF(OR($F80=$G80,$H80='Auto Responses'!$J$7),1,0)))))</f>
        <v>1</v>
      </c>
      <c r="M80" s="10" t="str">
        <f>VLOOKUP($A80,'Institution Evaluation'!$A$56:$K$346,10,0)&amp;""</f>
        <v/>
      </c>
      <c r="N80" s="10">
        <f t="shared" si="20"/>
        <v>1</v>
      </c>
      <c r="O80" s="114">
        <f t="shared" si="24"/>
        <v>20</v>
      </c>
      <c r="P80" s="114">
        <f t="shared" si="21"/>
        <v>20</v>
      </c>
      <c r="Q80" s="114">
        <f t="shared" si="14"/>
        <v>0</v>
      </c>
      <c r="R80" s="114">
        <f t="shared" si="22"/>
        <v>0</v>
      </c>
      <c r="S80" s="114">
        <f t="shared" si="15"/>
        <v>0</v>
      </c>
      <c r="T80" s="114">
        <f t="shared" si="16"/>
        <v>1</v>
      </c>
      <c r="U80" s="114">
        <f t="shared" si="23"/>
        <v>25</v>
      </c>
      <c r="V80" s="114">
        <f t="shared" si="17"/>
        <v>25</v>
      </c>
    </row>
    <row r="81" spans="1:22" ht="56" x14ac:dyDescent="0.3">
      <c r="A81" s="10" t="str">
        <f>Questions!$A81</f>
        <v>AAAI-04</v>
      </c>
      <c r="B81" s="10" t="str">
        <f t="shared" si="18"/>
        <v>AAAI</v>
      </c>
      <c r="C81" s="10" t="str">
        <f>VLOOKUP($A81,Questions!$A$3:$L$333,2,0)&amp;""</f>
        <v>For customers not using SSO, does the system have password complexity or length limitations and/or restrictions?*</v>
      </c>
      <c r="D81" s="10" t="str">
        <f>VLOOKUP($A81,Questions!$A$3:$L$333,11,0)&amp;""</f>
        <v/>
      </c>
      <c r="E81" s="10" t="str">
        <f>VLOOKUP($A81,Questions!$A$3:$L$333,12,0)&amp;""</f>
        <v>Product</v>
      </c>
      <c r="F81" s="10" t="str">
        <f>VLOOKUP($A81,'Institution Evaluation'!$A$56:$K$346,3,0)&amp;""</f>
        <v>Yes</v>
      </c>
      <c r="G81" s="10" t="str">
        <f>VLOOKUP($A81,'Institution Evaluation'!$A$56:$K$346,7,0)&amp;""</f>
        <v>No</v>
      </c>
      <c r="H81" s="10" t="str">
        <f>VLOOKUP($A81,'Institution Evaluation'!$A$56:$K$346,8,0)&amp;""</f>
        <v/>
      </c>
      <c r="I81" s="10" t="str">
        <f>VLOOKUP($A81,'Institution Evaluation'!$A$56:$K$346,9,0)&amp;""</f>
        <v>Critical Importance</v>
      </c>
      <c r="J81" s="10" t="str">
        <f>VLOOKUP($A81,'Institution Evaluation'!$A$56:$K$346,10,0)&amp;""</f>
        <v/>
      </c>
      <c r="K81" s="10">
        <f t="shared" si="19"/>
        <v>20</v>
      </c>
      <c r="L81" s="114">
        <f>IF($E81="Not Scored", "N/A",IF(AND($D81='Auto Responses'!$J$27,$H81=""),"N/A",IF(AND($D81='Auto Responses'!$J$27,$H81='Auto Responses'!$J$7),1,IF(AND($D81='Auto Responses'!$J$27,$H81='Auto Responses'!$J$8),0,IF(OR($F81=$G81,$H81='Auto Responses'!$J$7),1,0)))))</f>
        <v>0</v>
      </c>
      <c r="M81" s="10" t="str">
        <f>VLOOKUP($A81,'Institution Evaluation'!$A$56:$K$346,10,0)&amp;""</f>
        <v/>
      </c>
      <c r="N81" s="10">
        <f t="shared" si="20"/>
        <v>1</v>
      </c>
      <c r="O81" s="114">
        <f t="shared" si="24"/>
        <v>20</v>
      </c>
      <c r="P81" s="114">
        <f t="shared" si="21"/>
        <v>0</v>
      </c>
      <c r="Q81" s="114">
        <f t="shared" si="14"/>
        <v>0</v>
      </c>
      <c r="R81" s="114">
        <f t="shared" si="22"/>
        <v>0</v>
      </c>
      <c r="S81" s="114">
        <f t="shared" si="15"/>
        <v>0</v>
      </c>
      <c r="T81" s="114">
        <f t="shared" si="16"/>
        <v>1</v>
      </c>
      <c r="U81" s="114">
        <f t="shared" si="23"/>
        <v>26</v>
      </c>
      <c r="V81" s="114">
        <f t="shared" si="17"/>
        <v>26</v>
      </c>
    </row>
    <row r="82" spans="1:22" ht="56" x14ac:dyDescent="0.3">
      <c r="A82" s="10" t="str">
        <f>Questions!$A82</f>
        <v>AAAI-05</v>
      </c>
      <c r="B82" s="10" t="str">
        <f t="shared" si="18"/>
        <v>AAAI</v>
      </c>
      <c r="C82" s="10" t="str">
        <f>VLOOKUP($A82,Questions!$A$3:$L$333,2,0)&amp;""</f>
        <v>For customers not using SSO, do you have documented password/passphrase reset procedures that are currently implemented in the system and/or customer support?*</v>
      </c>
      <c r="D82" s="10" t="str">
        <f>VLOOKUP($A82,Questions!$A$3:$L$333,11,0)&amp;""</f>
        <v/>
      </c>
      <c r="E82" s="10" t="str">
        <f>VLOOKUP($A82,Questions!$A$3:$L$333,12,0)&amp;""</f>
        <v>Product</v>
      </c>
      <c r="F82" s="10" t="str">
        <f>VLOOKUP($A82,'Institution Evaluation'!$A$56:$K$346,3,0)&amp;""</f>
        <v>Yes</v>
      </c>
      <c r="G82" s="10" t="str">
        <f>VLOOKUP($A82,'Institution Evaluation'!$A$56:$K$346,7,0)&amp;""</f>
        <v>Yes</v>
      </c>
      <c r="H82" s="10" t="str">
        <f>VLOOKUP($A82,'Institution Evaluation'!$A$56:$K$346,8,0)&amp;""</f>
        <v/>
      </c>
      <c r="I82" s="10" t="str">
        <f>VLOOKUP($A82,'Institution Evaluation'!$A$56:$K$346,9,0)&amp;""</f>
        <v>Critical Importance</v>
      </c>
      <c r="J82" s="10" t="str">
        <f>VLOOKUP($A82,'Institution Evaluation'!$A$56:$K$346,10,0)&amp;""</f>
        <v/>
      </c>
      <c r="K82" s="10">
        <f t="shared" si="19"/>
        <v>20</v>
      </c>
      <c r="L82" s="114">
        <f>IF($E82="Not Scored", "N/A",IF(AND($D82='Auto Responses'!$J$27,$H82=""),"N/A",IF(AND($D82='Auto Responses'!$J$27,$H82='Auto Responses'!$J$7),1,IF(AND($D82='Auto Responses'!$J$27,$H82='Auto Responses'!$J$8),0,IF(OR($F82=$G82,$H82='Auto Responses'!$J$7),1,0)))))</f>
        <v>1</v>
      </c>
      <c r="M82" s="10" t="str">
        <f>VLOOKUP($A82,'Institution Evaluation'!$A$56:$K$346,10,0)&amp;""</f>
        <v/>
      </c>
      <c r="N82" s="10">
        <f t="shared" si="20"/>
        <v>1</v>
      </c>
      <c r="O82" s="114">
        <f t="shared" si="24"/>
        <v>20</v>
      </c>
      <c r="P82" s="114">
        <f t="shared" si="21"/>
        <v>20</v>
      </c>
      <c r="Q82" s="114">
        <f t="shared" si="14"/>
        <v>0</v>
      </c>
      <c r="R82" s="114">
        <f t="shared" si="22"/>
        <v>0</v>
      </c>
      <c r="S82" s="114">
        <f t="shared" si="15"/>
        <v>0</v>
      </c>
      <c r="T82" s="114">
        <f t="shared" si="16"/>
        <v>1</v>
      </c>
      <c r="U82" s="114">
        <f t="shared" si="23"/>
        <v>27</v>
      </c>
      <c r="V82" s="114">
        <f t="shared" si="17"/>
        <v>27</v>
      </c>
    </row>
    <row r="83" spans="1:22" ht="56" x14ac:dyDescent="0.3">
      <c r="A83" s="10" t="str">
        <f>Questions!$A83</f>
        <v>AAAI-06</v>
      </c>
      <c r="B83" s="10" t="str">
        <f t="shared" si="18"/>
        <v>AAAI</v>
      </c>
      <c r="C83" s="10" t="str">
        <f>VLOOKUP($A83,Questions!$A$3:$L$333,2,0)&amp;""</f>
        <v>Does your organization participate in InCommon or another eduGAIN-affiliated trust federation?*</v>
      </c>
      <c r="D83" s="10" t="str">
        <f>VLOOKUP($A83,Questions!$A$3:$L$333,11,0)&amp;""</f>
        <v/>
      </c>
      <c r="E83" s="10" t="str">
        <f>VLOOKUP($A83,Questions!$A$3:$L$333,12,0)&amp;""</f>
        <v>Product</v>
      </c>
      <c r="F83" s="10" t="str">
        <f>VLOOKUP($A83,'Institution Evaluation'!$A$56:$K$346,3,0)&amp;""</f>
        <v>Yes</v>
      </c>
      <c r="G83" s="10" t="str">
        <f>VLOOKUP($A83,'Institution Evaluation'!$A$56:$K$346,7,0)&amp;""</f>
        <v>Yes</v>
      </c>
      <c r="H83" s="10" t="str">
        <f>VLOOKUP($A83,'Institution Evaluation'!$A$56:$K$346,8,0)&amp;""</f>
        <v/>
      </c>
      <c r="I83" s="10" t="str">
        <f>VLOOKUP($A83,'Institution Evaluation'!$A$56:$K$346,9,0)&amp;""</f>
        <v>Critical Importance</v>
      </c>
      <c r="J83" s="10" t="str">
        <f>VLOOKUP($A83,'Institution Evaluation'!$A$56:$K$346,10,0)&amp;""</f>
        <v/>
      </c>
      <c r="K83" s="10">
        <f t="shared" si="19"/>
        <v>20</v>
      </c>
      <c r="L83" s="114">
        <f>IF($E83="Not Scored", "N/A",IF(AND($D83='Auto Responses'!$J$27,$H83=""),"N/A",IF(AND($D83='Auto Responses'!$J$27,$H83='Auto Responses'!$J$7),1,IF(AND($D83='Auto Responses'!$J$27,$H83='Auto Responses'!$J$8),0,IF(OR($F83=$G83,$H83='Auto Responses'!$J$7),1,0)))))</f>
        <v>1</v>
      </c>
      <c r="M83" s="10" t="str">
        <f>VLOOKUP($A83,'Institution Evaluation'!$A$56:$K$346,10,0)&amp;""</f>
        <v/>
      </c>
      <c r="N83" s="10">
        <f t="shared" si="20"/>
        <v>1</v>
      </c>
      <c r="O83" s="114">
        <f t="shared" si="24"/>
        <v>20</v>
      </c>
      <c r="P83" s="114">
        <f t="shared" si="21"/>
        <v>20</v>
      </c>
      <c r="Q83" s="114">
        <f t="shared" si="14"/>
        <v>0</v>
      </c>
      <c r="R83" s="114">
        <f t="shared" si="22"/>
        <v>0</v>
      </c>
      <c r="S83" s="114">
        <f t="shared" si="15"/>
        <v>0</v>
      </c>
      <c r="T83" s="114">
        <f t="shared" si="16"/>
        <v>1</v>
      </c>
      <c r="U83" s="114">
        <f t="shared" si="23"/>
        <v>28</v>
      </c>
      <c r="V83" s="114">
        <f t="shared" si="17"/>
        <v>28</v>
      </c>
    </row>
    <row r="84" spans="1:22" ht="56" x14ac:dyDescent="0.3">
      <c r="A84" s="10" t="str">
        <f>Questions!$A84</f>
        <v>AAAI-07</v>
      </c>
      <c r="B84" s="10" t="str">
        <f t="shared" si="18"/>
        <v>AAAI</v>
      </c>
      <c r="C84" s="10" t="str">
        <f>VLOOKUP($A84,Questions!$A$3:$L$333,2,0)&amp;""</f>
        <v>Are there any passwords/passphrases hard-coded into your systems or solutions?*</v>
      </c>
      <c r="D84" s="10" t="str">
        <f>VLOOKUP($A84,Questions!$A$3:$L$333,11,0)&amp;""</f>
        <v/>
      </c>
      <c r="E84" s="10" t="str">
        <f>VLOOKUP($A84,Questions!$A$3:$L$333,12,0)&amp;""</f>
        <v>Product</v>
      </c>
      <c r="F84" s="10" t="str">
        <f>VLOOKUP($A84,'Institution Evaluation'!$A$56:$K$346,3,0)&amp;""</f>
        <v>No</v>
      </c>
      <c r="G84" s="10" t="str">
        <f>VLOOKUP($A84,'Institution Evaluation'!$A$56:$K$346,7,0)&amp;""</f>
        <v>No</v>
      </c>
      <c r="H84" s="10" t="str">
        <f>VLOOKUP($A84,'Institution Evaluation'!$A$56:$K$346,8,0)&amp;""</f>
        <v/>
      </c>
      <c r="I84" s="10" t="str">
        <f>VLOOKUP($A84,'Institution Evaluation'!$A$56:$K$346,9,0)&amp;""</f>
        <v>Critical Importance</v>
      </c>
      <c r="J84" s="10" t="str">
        <f>VLOOKUP($A84,'Institution Evaluation'!$A$56:$K$346,10,0)&amp;""</f>
        <v/>
      </c>
      <c r="K84" s="10">
        <f t="shared" si="19"/>
        <v>20</v>
      </c>
      <c r="L84" s="114">
        <f>IF($E84="Not Scored", "N/A",IF(AND($D84='Auto Responses'!$J$27,$H84=""),"N/A",IF(AND($D84='Auto Responses'!$J$27,$H84='Auto Responses'!$J$7),1,IF(AND($D84='Auto Responses'!$J$27,$H84='Auto Responses'!$J$8),0,IF(OR($F84=$G84,$H84='Auto Responses'!$J$7),1,0)))))</f>
        <v>1</v>
      </c>
      <c r="M84" s="10" t="str">
        <f>VLOOKUP($A84,'Institution Evaluation'!$A$56:$K$346,10,0)&amp;""</f>
        <v/>
      </c>
      <c r="N84" s="10">
        <f t="shared" si="20"/>
        <v>1</v>
      </c>
      <c r="O84" s="114">
        <f t="shared" si="24"/>
        <v>20</v>
      </c>
      <c r="P84" s="114">
        <f t="shared" si="21"/>
        <v>20</v>
      </c>
      <c r="Q84" s="114">
        <f t="shared" si="14"/>
        <v>0</v>
      </c>
      <c r="R84" s="114">
        <f t="shared" si="22"/>
        <v>0</v>
      </c>
      <c r="S84" s="114">
        <f t="shared" si="15"/>
        <v>0</v>
      </c>
      <c r="T84" s="114">
        <f t="shared" si="16"/>
        <v>1</v>
      </c>
      <c r="U84" s="114">
        <f t="shared" si="23"/>
        <v>29</v>
      </c>
      <c r="V84" s="114">
        <f t="shared" si="17"/>
        <v>29</v>
      </c>
    </row>
    <row r="85" spans="1:22" ht="56" x14ac:dyDescent="0.3">
      <c r="A85" s="10" t="str">
        <f>Questions!$A85</f>
        <v>AAAI-08</v>
      </c>
      <c r="B85" s="10" t="str">
        <f t="shared" si="18"/>
        <v>AAAI</v>
      </c>
      <c r="C85" s="10" t="str">
        <f>VLOOKUP($A85,Questions!$A$3:$L$333,2,0)&amp;""</f>
        <v>Are you storing any passwords in plaintext?*</v>
      </c>
      <c r="D85" s="10" t="str">
        <f>VLOOKUP($A85,Questions!$A$3:$L$333,11,0)&amp;""</f>
        <v/>
      </c>
      <c r="E85" s="10" t="str">
        <f>VLOOKUP($A85,Questions!$A$3:$L$333,12,0)&amp;""</f>
        <v>Product</v>
      </c>
      <c r="F85" s="10" t="str">
        <f>VLOOKUP($A85,'Institution Evaluation'!$A$56:$K$346,3,0)&amp;""</f>
        <v>No</v>
      </c>
      <c r="G85" s="10" t="str">
        <f>VLOOKUP($A85,'Institution Evaluation'!$A$56:$K$346,7,0)&amp;""</f>
        <v>No</v>
      </c>
      <c r="H85" s="10" t="str">
        <f>VLOOKUP($A85,'Institution Evaluation'!$A$56:$K$346,8,0)&amp;""</f>
        <v/>
      </c>
      <c r="I85" s="10" t="str">
        <f>VLOOKUP($A85,'Institution Evaluation'!$A$56:$K$346,9,0)&amp;""</f>
        <v>Critical Importance</v>
      </c>
      <c r="J85" s="10" t="str">
        <f>VLOOKUP($A85,'Institution Evaluation'!$A$56:$K$346,10,0)&amp;""</f>
        <v/>
      </c>
      <c r="K85" s="10">
        <f t="shared" si="19"/>
        <v>20</v>
      </c>
      <c r="L85" s="114">
        <f>IF($E85="Not Scored", "N/A",IF(AND($D85='Auto Responses'!$J$27,$H85=""),"N/A",IF(AND($D85='Auto Responses'!$J$27,$H85='Auto Responses'!$J$7),1,IF(AND($D85='Auto Responses'!$J$27,$H85='Auto Responses'!$J$8),0,IF(OR($F85=$G85,$H85='Auto Responses'!$J$7),1,0)))))</f>
        <v>1</v>
      </c>
      <c r="M85" s="10" t="str">
        <f>VLOOKUP($A85,'Institution Evaluation'!$A$56:$K$346,10,0)&amp;""</f>
        <v/>
      </c>
      <c r="N85" s="10">
        <f t="shared" si="20"/>
        <v>1</v>
      </c>
      <c r="O85" s="114">
        <f t="shared" si="24"/>
        <v>20</v>
      </c>
      <c r="P85" s="114">
        <f t="shared" si="21"/>
        <v>20</v>
      </c>
      <c r="Q85" s="114">
        <f t="shared" si="14"/>
        <v>0</v>
      </c>
      <c r="R85" s="114">
        <f t="shared" si="22"/>
        <v>0</v>
      </c>
      <c r="S85" s="114">
        <f t="shared" si="15"/>
        <v>0</v>
      </c>
      <c r="T85" s="114">
        <f t="shared" si="16"/>
        <v>1</v>
      </c>
      <c r="U85" s="114">
        <f t="shared" si="23"/>
        <v>30</v>
      </c>
      <c r="V85" s="114">
        <f t="shared" si="17"/>
        <v>30</v>
      </c>
    </row>
    <row r="86" spans="1:22" ht="56" x14ac:dyDescent="0.3">
      <c r="A86" s="10" t="str">
        <f>Questions!$A86</f>
        <v>AAAI-09</v>
      </c>
      <c r="B86" s="10" t="str">
        <f t="shared" si="18"/>
        <v>AAAI</v>
      </c>
      <c r="C86" s="10" t="str">
        <f>VLOOKUP($A86,Questions!$A$3:$L$333,2,0)&amp;""</f>
        <v>Are audit logs available that include AT LEAST all of the following: login, logout, actions performed, and source IP address?*</v>
      </c>
      <c r="D86" s="10" t="str">
        <f>VLOOKUP($A86,Questions!$A$3:$L$333,11,0)&amp;""</f>
        <v/>
      </c>
      <c r="E86" s="10" t="str">
        <f>VLOOKUP($A86,Questions!$A$3:$L$333,12,0)&amp;""</f>
        <v>Product</v>
      </c>
      <c r="F86" s="10" t="str">
        <f>VLOOKUP($A86,'Institution Evaluation'!$A$56:$K$346,3,0)&amp;""</f>
        <v>Yes</v>
      </c>
      <c r="G86" s="10" t="str">
        <f>VLOOKUP($A86,'Institution Evaluation'!$A$56:$K$346,7,0)&amp;""</f>
        <v>Yes</v>
      </c>
      <c r="H86" s="10" t="str">
        <f>VLOOKUP($A86,'Institution Evaluation'!$A$56:$K$346,8,0)&amp;""</f>
        <v/>
      </c>
      <c r="I86" s="10" t="str">
        <f>VLOOKUP($A86,'Institution Evaluation'!$A$56:$K$346,9,0)&amp;""</f>
        <v>Critical Importance</v>
      </c>
      <c r="J86" s="10" t="str">
        <f>VLOOKUP($A86,'Institution Evaluation'!$A$56:$K$346,10,0)&amp;""</f>
        <v/>
      </c>
      <c r="K86" s="10">
        <f t="shared" si="19"/>
        <v>20</v>
      </c>
      <c r="L86" s="114">
        <f>IF($E86="Not Scored", "N/A",IF(AND($D86='Auto Responses'!$J$27,$H86=""),"N/A",IF(AND($D86='Auto Responses'!$J$27,$H86='Auto Responses'!$J$7),1,IF(AND($D86='Auto Responses'!$J$27,$H86='Auto Responses'!$J$8),0,IF(OR($F86=$G86,$H86='Auto Responses'!$J$7),1,0)))))</f>
        <v>1</v>
      </c>
      <c r="M86" s="10" t="str">
        <f>VLOOKUP($A86,'Institution Evaluation'!$A$56:$K$346,10,0)&amp;""</f>
        <v/>
      </c>
      <c r="N86" s="10">
        <f t="shared" si="20"/>
        <v>1</v>
      </c>
      <c r="O86" s="114">
        <f t="shared" si="24"/>
        <v>20</v>
      </c>
      <c r="P86" s="114">
        <f t="shared" si="21"/>
        <v>20</v>
      </c>
      <c r="Q86" s="114">
        <f t="shared" si="14"/>
        <v>0</v>
      </c>
      <c r="R86" s="114">
        <f t="shared" si="22"/>
        <v>0</v>
      </c>
      <c r="S86" s="114">
        <f t="shared" si="15"/>
        <v>0</v>
      </c>
      <c r="T86" s="114">
        <f t="shared" si="16"/>
        <v>1</v>
      </c>
      <c r="U86" s="114">
        <f t="shared" si="23"/>
        <v>31</v>
      </c>
      <c r="V86" s="114">
        <f t="shared" si="17"/>
        <v>31</v>
      </c>
    </row>
    <row r="87" spans="1:22" ht="409.5" x14ac:dyDescent="0.3">
      <c r="A87" s="10" t="str">
        <f>Questions!$A87</f>
        <v>AAAI-10</v>
      </c>
      <c r="B87" s="10" t="str">
        <f t="shared" si="18"/>
        <v>AAAI</v>
      </c>
      <c r="C87" s="10" t="str">
        <f>VLOOKUP($A87,Questions!$A$3:$L$333,2,0)&amp;""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87" s="10" t="str">
        <f>VLOOKUP($A87,Questions!$A$3:$L$333,11,0)&amp;""</f>
        <v/>
      </c>
      <c r="E87" s="10" t="str">
        <f>VLOOKUP($A87,Questions!$A$3:$L$333,12,0)&amp;""</f>
        <v>Not scored</v>
      </c>
      <c r="F87" s="10" t="str">
        <f>VLOOKUP($A87,'Institution Evaluation'!$A$56:$K$346,3,0)&amp;""</f>
        <v xml:space="preserve">A) The system to access event logs is built into the base Cirrus Identity services. See https://blog.cirrusidentity.com/documentation/self-service-metrics for details.  
B) As outlined by "A", there are no additional customer requirements to implement logging. 
C) Customers may also subscribe to the Cirrus Identity Log API (https://www.cirrusidentity.com/documentation/log-api) to stream event logs into a SIEM or log collector tool of their choosing. There is a nominal additional fee for this capability. There is no material difference in the type of information available as outlined by "A". </v>
      </c>
      <c r="G87" s="10" t="str">
        <f>VLOOKUP($A87,'Institution Evaluation'!$A$56:$K$346,7,0)&amp;""</f>
        <v>Not scored</v>
      </c>
      <c r="H87" s="10" t="str">
        <f>VLOOKUP($A87,'Institution Evaluation'!$A$56:$K$346,8,0)&amp;""</f>
        <v/>
      </c>
      <c r="I87" s="10" t="str">
        <f>VLOOKUP($A87,'Institution Evaluation'!$A$56:$K$346,9,0)&amp;""</f>
        <v>Critical Importance</v>
      </c>
      <c r="J87" s="10" t="str">
        <f>VLOOKUP($A87,'Institution Evaluation'!$A$56:$K$346,10,0)&amp;""</f>
        <v/>
      </c>
      <c r="K87" s="10">
        <f t="shared" si="19"/>
        <v>20</v>
      </c>
      <c r="L87" s="114" t="str">
        <f>IF($E87="Not Scored", "N/A",IF(AND($D87='Auto Responses'!$J$27,$H87=""),"N/A",IF(AND($D87='Auto Responses'!$J$27,$H87='Auto Responses'!$J$7),1,IF(AND($D87='Auto Responses'!$J$27,$H87='Auto Responses'!$J$8),0,IF(OR($F87=$G87,$H87='Auto Responses'!$J$7),1,0)))))</f>
        <v>N/A</v>
      </c>
      <c r="M87" s="10" t="str">
        <f>VLOOKUP($A87,'Institution Evaluation'!$A$56:$K$346,10,0)&amp;""</f>
        <v/>
      </c>
      <c r="N87" s="10">
        <f t="shared" si="20"/>
        <v>1</v>
      </c>
      <c r="O87" s="114" t="str">
        <f t="shared" si="24"/>
        <v>N/A</v>
      </c>
      <c r="P87" s="114" t="str">
        <f t="shared" si="21"/>
        <v>N/A</v>
      </c>
      <c r="Q87" s="114">
        <f t="shared" si="14"/>
        <v>0</v>
      </c>
      <c r="R87" s="114">
        <f t="shared" si="22"/>
        <v>0</v>
      </c>
      <c r="S87" s="114">
        <f t="shared" si="15"/>
        <v>0</v>
      </c>
      <c r="T87" s="114">
        <f t="shared" si="16"/>
        <v>1</v>
      </c>
      <c r="U87" s="114">
        <f t="shared" si="23"/>
        <v>32</v>
      </c>
      <c r="V87" s="114">
        <f t="shared" si="17"/>
        <v>32</v>
      </c>
    </row>
    <row r="88" spans="1:22" ht="56" x14ac:dyDescent="0.3">
      <c r="A88" s="10" t="str">
        <f>Questions!$A88</f>
        <v>AAAI-11</v>
      </c>
      <c r="B88" s="10" t="str">
        <f t="shared" si="18"/>
        <v>AAAI</v>
      </c>
      <c r="C88" s="10" t="str">
        <f>VLOOKUP($A88,Questions!$A$3:$L$333,2,0)&amp;""</f>
        <v>Can you provide the institution documentation regarding the retention period for those logs, how logs are protected, and whether they are accessible to the customer (and if so, how)?*</v>
      </c>
      <c r="D88" s="10" t="str">
        <f>VLOOKUP($A88,Questions!$A$3:$L$333,11,0)&amp;""</f>
        <v/>
      </c>
      <c r="E88" s="10" t="str">
        <f>VLOOKUP($A88,Questions!$A$3:$L$333,12,0)&amp;""</f>
        <v>Product</v>
      </c>
      <c r="F88" s="10" t="str">
        <f>VLOOKUP($A88,'Institution Evaluation'!$A$56:$K$346,3,0)&amp;""</f>
        <v>Yes</v>
      </c>
      <c r="G88" s="10" t="str">
        <f>VLOOKUP($A88,'Institution Evaluation'!$A$56:$K$346,7,0)&amp;""</f>
        <v>Yes</v>
      </c>
      <c r="H88" s="10" t="str">
        <f>VLOOKUP($A88,'Institution Evaluation'!$A$56:$K$346,8,0)&amp;""</f>
        <v/>
      </c>
      <c r="I88" s="10" t="str">
        <f>VLOOKUP($A88,'Institution Evaluation'!$A$56:$K$346,9,0)&amp;""</f>
        <v>Critical Importance</v>
      </c>
      <c r="J88" s="10" t="str">
        <f>VLOOKUP($A88,'Institution Evaluation'!$A$56:$K$346,10,0)&amp;""</f>
        <v/>
      </c>
      <c r="K88" s="10">
        <f t="shared" si="19"/>
        <v>20</v>
      </c>
      <c r="L88" s="114">
        <f>IF($E88="Not Scored", "N/A",IF(AND($D88='Auto Responses'!$J$27,$H88=""),"N/A",IF(AND($D88='Auto Responses'!$J$27,$H88='Auto Responses'!$J$7),1,IF(AND($D88='Auto Responses'!$J$27,$H88='Auto Responses'!$J$8),0,IF(OR($F88=$G88,$H88='Auto Responses'!$J$7),1,0)))))</f>
        <v>1</v>
      </c>
      <c r="M88" s="10" t="str">
        <f>VLOOKUP($A88,'Institution Evaluation'!$A$56:$K$346,10,0)&amp;""</f>
        <v/>
      </c>
      <c r="N88" s="10">
        <f t="shared" si="20"/>
        <v>1</v>
      </c>
      <c r="O88" s="114">
        <f t="shared" si="24"/>
        <v>20</v>
      </c>
      <c r="P88" s="114">
        <f t="shared" si="21"/>
        <v>20</v>
      </c>
      <c r="Q88" s="114">
        <f t="shared" si="14"/>
        <v>0</v>
      </c>
      <c r="R88" s="114">
        <f t="shared" si="22"/>
        <v>0</v>
      </c>
      <c r="S88" s="114">
        <f t="shared" si="15"/>
        <v>0</v>
      </c>
      <c r="T88" s="114">
        <f t="shared" si="16"/>
        <v>1</v>
      </c>
      <c r="U88" s="114">
        <f t="shared" si="23"/>
        <v>33</v>
      </c>
      <c r="V88" s="114">
        <f t="shared" si="17"/>
        <v>33</v>
      </c>
    </row>
    <row r="89" spans="1:22" ht="56" x14ac:dyDescent="0.3">
      <c r="A89" s="10" t="str">
        <f>Questions!$A89</f>
        <v>AAAI-12</v>
      </c>
      <c r="B89" s="10" t="str">
        <f t="shared" si="18"/>
        <v>AAAI</v>
      </c>
      <c r="C89" s="10" t="str">
        <f>VLOOKUP($A89,Questions!$A$3:$L$333,2,0)&amp;""</f>
        <v>For customers not using SSO, does your application support integration with other authentication and authorization systems?</v>
      </c>
      <c r="D89" s="10" t="str">
        <f>VLOOKUP($A89,Questions!$A$3:$L$333,11,0)&amp;""</f>
        <v/>
      </c>
      <c r="E89" s="10" t="str">
        <f>VLOOKUP($A89,Questions!$A$3:$L$333,12,0)&amp;""</f>
        <v>Product</v>
      </c>
      <c r="F89" s="10" t="str">
        <f>VLOOKUP($A89,'Institution Evaluation'!$A$56:$K$346,3,0)&amp;""</f>
        <v>Yes</v>
      </c>
      <c r="G89" s="10" t="str">
        <f>VLOOKUP($A89,'Institution Evaluation'!$A$56:$K$346,7,0)&amp;""</f>
        <v>Yes</v>
      </c>
      <c r="H89" s="10" t="str">
        <f>VLOOKUP($A89,'Institution Evaluation'!$A$56:$K$346,8,0)&amp;""</f>
        <v/>
      </c>
      <c r="I89" s="10" t="str">
        <f>VLOOKUP($A89,'Institution Evaluation'!$A$56:$K$346,9,0)&amp;""</f>
        <v>Standard Importance</v>
      </c>
      <c r="J89" s="10" t="str">
        <f>VLOOKUP($A89,'Institution Evaluation'!$A$56:$K$346,10,0)&amp;""</f>
        <v/>
      </c>
      <c r="K89" s="10">
        <f t="shared" si="19"/>
        <v>10</v>
      </c>
      <c r="L89" s="114">
        <f>IF($E89="Not Scored", "N/A",IF(AND($D89='Auto Responses'!$J$27,$H89=""),"N/A",IF(AND($D89='Auto Responses'!$J$27,$H89='Auto Responses'!$J$7),1,IF(AND($D89='Auto Responses'!$J$27,$H89='Auto Responses'!$J$8),0,IF(OR($F89=$G89,$H89='Auto Responses'!$J$7),1,0)))))</f>
        <v>1</v>
      </c>
      <c r="M89" s="10" t="str">
        <f>VLOOKUP($A89,'Institution Evaluation'!$A$56:$K$346,10,0)&amp;""</f>
        <v/>
      </c>
      <c r="N89" s="10">
        <f t="shared" si="20"/>
        <v>0</v>
      </c>
      <c r="O89" s="114">
        <f t="shared" si="24"/>
        <v>10</v>
      </c>
      <c r="P89" s="114">
        <f t="shared" si="21"/>
        <v>10</v>
      </c>
      <c r="Q89" s="114">
        <f t="shared" si="14"/>
        <v>0</v>
      </c>
      <c r="R89" s="114">
        <f t="shared" si="22"/>
        <v>0</v>
      </c>
      <c r="S89" s="114">
        <f t="shared" si="15"/>
        <v>0</v>
      </c>
      <c r="T89" s="114">
        <f t="shared" si="16"/>
        <v>0</v>
      </c>
      <c r="U89" s="114">
        <f t="shared" si="23"/>
        <v>33</v>
      </c>
      <c r="V89" s="114">
        <f t="shared" si="17"/>
        <v>0</v>
      </c>
    </row>
    <row r="90" spans="1:22" ht="56" x14ac:dyDescent="0.3">
      <c r="A90" s="10" t="str">
        <f>Questions!$A90</f>
        <v>AAAI-13</v>
      </c>
      <c r="B90" s="10" t="str">
        <f t="shared" si="18"/>
        <v>AAAI</v>
      </c>
      <c r="C90" s="10" t="str">
        <f>VLOOKUP($A90,Questions!$A$3:$L$333,2,0)&amp;""</f>
        <v>Do you allow the customer to specify attribute mappings for any needed information beyond a user identifier? (e.g., Reference eduPerson, ePPA/ePPN/ePE)</v>
      </c>
      <c r="D90" s="10" t="str">
        <f>VLOOKUP($A90,Questions!$A$3:$L$333,11,0)&amp;""</f>
        <v/>
      </c>
      <c r="E90" s="10" t="str">
        <f>VLOOKUP($A90,Questions!$A$3:$L$333,12,0)&amp;""</f>
        <v>Product</v>
      </c>
      <c r="F90" s="10" t="str">
        <f>VLOOKUP($A90,'Institution Evaluation'!$A$56:$K$346,3,0)&amp;""</f>
        <v>Yes</v>
      </c>
      <c r="G90" s="10" t="str">
        <f>VLOOKUP($A90,'Institution Evaluation'!$A$56:$K$346,7,0)&amp;""</f>
        <v>Yes</v>
      </c>
      <c r="H90" s="10" t="str">
        <f>VLOOKUP($A90,'Institution Evaluation'!$A$56:$K$346,8,0)&amp;""</f>
        <v/>
      </c>
      <c r="I90" s="10" t="str">
        <f>VLOOKUP($A90,'Institution Evaluation'!$A$56:$K$346,9,0)&amp;""</f>
        <v>Standard Importance</v>
      </c>
      <c r="J90" s="10" t="str">
        <f>VLOOKUP($A90,'Institution Evaluation'!$A$56:$K$346,10,0)&amp;""</f>
        <v/>
      </c>
      <c r="K90" s="10">
        <f t="shared" si="19"/>
        <v>10</v>
      </c>
      <c r="L90" s="114">
        <f>IF($E90="Not Scored", "N/A",IF(AND($D90='Auto Responses'!$J$27,$H90=""),"N/A",IF(AND($D90='Auto Responses'!$J$27,$H90='Auto Responses'!$J$7),1,IF(AND($D90='Auto Responses'!$J$27,$H90='Auto Responses'!$J$8),0,IF(OR($F90=$G90,$H90='Auto Responses'!$J$7),1,0)))))</f>
        <v>1</v>
      </c>
      <c r="M90" s="10" t="str">
        <f>VLOOKUP($A90,'Institution Evaluation'!$A$56:$K$346,10,0)&amp;""</f>
        <v/>
      </c>
      <c r="N90" s="10">
        <f t="shared" si="20"/>
        <v>0</v>
      </c>
      <c r="O90" s="114">
        <f t="shared" si="24"/>
        <v>10</v>
      </c>
      <c r="P90" s="114">
        <f t="shared" si="21"/>
        <v>10</v>
      </c>
      <c r="Q90" s="114">
        <f t="shared" si="14"/>
        <v>0</v>
      </c>
      <c r="R90" s="114">
        <f t="shared" si="22"/>
        <v>0</v>
      </c>
      <c r="S90" s="114">
        <f t="shared" si="15"/>
        <v>0</v>
      </c>
      <c r="T90" s="114">
        <f t="shared" si="16"/>
        <v>0</v>
      </c>
      <c r="U90" s="114">
        <f t="shared" si="23"/>
        <v>33</v>
      </c>
      <c r="V90" s="114">
        <f t="shared" si="17"/>
        <v>0</v>
      </c>
    </row>
    <row r="91" spans="1:22" ht="56" x14ac:dyDescent="0.3">
      <c r="A91" s="10" t="str">
        <f>Questions!$A91</f>
        <v>AAAI-14</v>
      </c>
      <c r="B91" s="10" t="str">
        <f t="shared" si="18"/>
        <v>AAAI</v>
      </c>
      <c r="C91" s="10" t="str">
        <f>VLOOKUP($A91,Questions!$A$3:$L$333,2,0)&amp;""</f>
        <v>For customers not using SSO, does your application support directory integration for user accounts?</v>
      </c>
      <c r="D91" s="10" t="str">
        <f>VLOOKUP($A91,Questions!$A$3:$L$333,11,0)&amp;""</f>
        <v/>
      </c>
      <c r="E91" s="10" t="str">
        <f>VLOOKUP($A91,Questions!$A$3:$L$333,12,0)&amp;""</f>
        <v>Product</v>
      </c>
      <c r="F91" s="10" t="str">
        <f>VLOOKUP($A91,'Institution Evaluation'!$A$56:$K$346,3,0)&amp;""</f>
        <v>Yes</v>
      </c>
      <c r="G91" s="10" t="str">
        <f>VLOOKUP($A91,'Institution Evaluation'!$A$56:$K$346,7,0)&amp;""</f>
        <v>Yes</v>
      </c>
      <c r="H91" s="10" t="str">
        <f>VLOOKUP($A91,'Institution Evaluation'!$A$56:$K$346,8,0)&amp;""</f>
        <v/>
      </c>
      <c r="I91" s="10" t="str">
        <f>VLOOKUP($A91,'Institution Evaluation'!$A$56:$K$346,9,0)&amp;""</f>
        <v>Standard Importance</v>
      </c>
      <c r="J91" s="10" t="str">
        <f>VLOOKUP($A91,'Institution Evaluation'!$A$56:$K$346,10,0)&amp;""</f>
        <v/>
      </c>
      <c r="K91" s="10">
        <f t="shared" si="19"/>
        <v>10</v>
      </c>
      <c r="L91" s="114">
        <f>IF($E91="Not Scored", "N/A",IF(AND($D91='Auto Responses'!$J$27,$H91=""),"N/A",IF(AND($D91='Auto Responses'!$J$27,$H91='Auto Responses'!$J$7),1,IF(AND($D91='Auto Responses'!$J$27,$H91='Auto Responses'!$J$8),0,IF(OR($F91=$G91,$H91='Auto Responses'!$J$7),1,0)))))</f>
        <v>1</v>
      </c>
      <c r="M91" s="10" t="str">
        <f>VLOOKUP($A91,'Institution Evaluation'!$A$56:$K$346,10,0)&amp;""</f>
        <v/>
      </c>
      <c r="N91" s="10">
        <f t="shared" si="20"/>
        <v>0</v>
      </c>
      <c r="O91" s="114">
        <f t="shared" si="24"/>
        <v>10</v>
      </c>
      <c r="P91" s="114">
        <f t="shared" si="21"/>
        <v>10</v>
      </c>
      <c r="Q91" s="114">
        <f t="shared" si="14"/>
        <v>0</v>
      </c>
      <c r="R91" s="114">
        <f t="shared" si="22"/>
        <v>0</v>
      </c>
      <c r="S91" s="114">
        <f t="shared" si="15"/>
        <v>0</v>
      </c>
      <c r="T91" s="114">
        <f t="shared" si="16"/>
        <v>0</v>
      </c>
      <c r="U91" s="114">
        <f t="shared" si="23"/>
        <v>33</v>
      </c>
      <c r="V91" s="114">
        <f t="shared" si="17"/>
        <v>0</v>
      </c>
    </row>
    <row r="92" spans="1:22" ht="56" x14ac:dyDescent="0.3">
      <c r="A92" s="10" t="str">
        <f>Questions!$A92</f>
        <v>AAAI-15</v>
      </c>
      <c r="B92" s="10" t="str">
        <f t="shared" si="18"/>
        <v>AAAI</v>
      </c>
      <c r="C92" s="10" t="str">
        <f>VLOOKUP($A92,Questions!$A$3:$L$333,2,0)&amp;""</f>
        <v>Does your solution support any of the following web SSO standards: SAML2 (with redirect flow), OIDC, CAS, or other?</v>
      </c>
      <c r="D92" s="10" t="str">
        <f>VLOOKUP($A92,Questions!$A$3:$L$333,11,0)&amp;""</f>
        <v/>
      </c>
      <c r="E92" s="10" t="str">
        <f>VLOOKUP($A92,Questions!$A$3:$L$333,12,0)&amp;""</f>
        <v>Product</v>
      </c>
      <c r="F92" s="10" t="str">
        <f>VLOOKUP($A92,'Institution Evaluation'!$A$56:$K$346,3,0)&amp;""</f>
        <v>Yes</v>
      </c>
      <c r="G92" s="10" t="str">
        <f>VLOOKUP($A92,'Institution Evaluation'!$A$56:$K$346,7,0)&amp;""</f>
        <v>Yes</v>
      </c>
      <c r="H92" s="10" t="str">
        <f>VLOOKUP($A92,'Institution Evaluation'!$A$56:$K$346,8,0)&amp;""</f>
        <v/>
      </c>
      <c r="I92" s="10" t="str">
        <f>VLOOKUP($A92,'Institution Evaluation'!$A$56:$K$346,9,0)&amp;""</f>
        <v>Minor Importance</v>
      </c>
      <c r="J92" s="10" t="str">
        <f>VLOOKUP($A92,'Institution Evaluation'!$A$56:$K$346,10,0)&amp;""</f>
        <v/>
      </c>
      <c r="K92" s="10">
        <f t="shared" si="19"/>
        <v>5</v>
      </c>
      <c r="L92" s="114">
        <f>IF($E92="Not Scored", "N/A",IF(AND($D92='Auto Responses'!$J$27,$H92=""),"N/A",IF(AND($D92='Auto Responses'!$J$27,$H92='Auto Responses'!$J$7),1,IF(AND($D92='Auto Responses'!$J$27,$H92='Auto Responses'!$J$8),0,IF(OR($F92=$G92,$H92='Auto Responses'!$J$7),1,0)))))</f>
        <v>1</v>
      </c>
      <c r="M92" s="10" t="str">
        <f>VLOOKUP($A92,'Institution Evaluation'!$A$56:$K$346,10,0)&amp;""</f>
        <v/>
      </c>
      <c r="N92" s="10">
        <f t="shared" si="20"/>
        <v>0</v>
      </c>
      <c r="O92" s="114">
        <f t="shared" si="24"/>
        <v>5</v>
      </c>
      <c r="P92" s="114">
        <f t="shared" si="21"/>
        <v>5</v>
      </c>
      <c r="Q92" s="114">
        <f t="shared" si="14"/>
        <v>0</v>
      </c>
      <c r="R92" s="114">
        <f t="shared" si="22"/>
        <v>0</v>
      </c>
      <c r="S92" s="114">
        <f t="shared" si="15"/>
        <v>0</v>
      </c>
      <c r="T92" s="114">
        <f t="shared" si="16"/>
        <v>0</v>
      </c>
      <c r="U92" s="114">
        <f t="shared" si="23"/>
        <v>33</v>
      </c>
      <c r="V92" s="114">
        <f t="shared" si="17"/>
        <v>0</v>
      </c>
    </row>
    <row r="93" spans="1:22" ht="56" x14ac:dyDescent="0.3">
      <c r="A93" s="10" t="str">
        <f>Questions!$A93</f>
        <v>AAAI-16</v>
      </c>
      <c r="B93" s="10" t="str">
        <f t="shared" si="18"/>
        <v>AAAI</v>
      </c>
      <c r="C93" s="10" t="str">
        <f>VLOOKUP($A93,Questions!$A$3:$L$333,2,0)&amp;""</f>
        <v>Do you support differentiation between email address and user identifier?</v>
      </c>
      <c r="D93" s="10" t="str">
        <f>VLOOKUP($A93,Questions!$A$3:$L$333,11,0)&amp;""</f>
        <v/>
      </c>
      <c r="E93" s="10" t="str">
        <f>VLOOKUP($A93,Questions!$A$3:$L$333,12,0)&amp;""</f>
        <v>Product</v>
      </c>
      <c r="F93" s="10" t="str">
        <f>VLOOKUP($A93,'Institution Evaluation'!$A$56:$K$346,3,0)&amp;""</f>
        <v>Yes</v>
      </c>
      <c r="G93" s="10" t="str">
        <f>VLOOKUP($A93,'Institution Evaluation'!$A$56:$K$346,7,0)&amp;""</f>
        <v>Yes</v>
      </c>
      <c r="H93" s="10" t="str">
        <f>VLOOKUP($A93,'Institution Evaluation'!$A$56:$K$346,8,0)&amp;""</f>
        <v/>
      </c>
      <c r="I93" s="10" t="str">
        <f>VLOOKUP($A93,'Institution Evaluation'!$A$56:$K$346,9,0)&amp;""</f>
        <v>Minor Importance</v>
      </c>
      <c r="J93" s="10" t="str">
        <f>VLOOKUP($A93,'Institution Evaluation'!$A$56:$K$346,10,0)&amp;""</f>
        <v/>
      </c>
      <c r="K93" s="10">
        <f t="shared" si="19"/>
        <v>5</v>
      </c>
      <c r="L93" s="114">
        <f>IF($E93="Not Scored", "N/A",IF(AND($D93='Auto Responses'!$J$27,$H93=""),"N/A",IF(AND($D93='Auto Responses'!$J$27,$H93='Auto Responses'!$J$7),1,IF(AND($D93='Auto Responses'!$J$27,$H93='Auto Responses'!$J$8),0,IF(OR($F93=$G93,$H93='Auto Responses'!$J$7),1,0)))))</f>
        <v>1</v>
      </c>
      <c r="M93" s="10" t="str">
        <f>VLOOKUP($A93,'Institution Evaluation'!$A$56:$K$346,10,0)&amp;""</f>
        <v/>
      </c>
      <c r="N93" s="10">
        <f t="shared" si="20"/>
        <v>0</v>
      </c>
      <c r="O93" s="114">
        <f t="shared" si="24"/>
        <v>5</v>
      </c>
      <c r="P93" s="114">
        <f t="shared" si="21"/>
        <v>5</v>
      </c>
      <c r="Q93" s="114">
        <f t="shared" si="14"/>
        <v>0</v>
      </c>
      <c r="R93" s="114">
        <f t="shared" si="22"/>
        <v>0</v>
      </c>
      <c r="S93" s="114">
        <f t="shared" si="15"/>
        <v>0</v>
      </c>
      <c r="T93" s="114">
        <f t="shared" si="16"/>
        <v>0</v>
      </c>
      <c r="U93" s="114">
        <f t="shared" si="23"/>
        <v>33</v>
      </c>
      <c r="V93" s="114">
        <f t="shared" si="17"/>
        <v>0</v>
      </c>
    </row>
    <row r="94" spans="1:22" ht="56" x14ac:dyDescent="0.3">
      <c r="A94" s="10" t="str">
        <f>Questions!$A94</f>
        <v>AAAI-17</v>
      </c>
      <c r="B94" s="10" t="str">
        <f t="shared" si="18"/>
        <v>AAAI</v>
      </c>
      <c r="C94" s="10" t="str">
        <f>VLOOKUP($A94,Questions!$A$3:$L$333,2,0)&amp;""</f>
        <v>For customers not using SSO, does your application and/or user frontend/portal support multifactor authentication (e.g., Duo, Google Authenticator, OTP, etc.)?</v>
      </c>
      <c r="D94" s="10" t="str">
        <f>VLOOKUP($A94,Questions!$A$3:$L$333,11,0)&amp;""</f>
        <v/>
      </c>
      <c r="E94" s="10" t="str">
        <f>VLOOKUP($A94,Questions!$A$3:$L$333,12,0)&amp;""</f>
        <v>Product</v>
      </c>
      <c r="F94" s="10" t="str">
        <f>VLOOKUP($A94,'Institution Evaluation'!$A$56:$K$346,3,0)&amp;""</f>
        <v>Yes</v>
      </c>
      <c r="G94" s="10" t="str">
        <f>VLOOKUP($A94,'Institution Evaluation'!$A$56:$K$346,7,0)&amp;""</f>
        <v>Yes</v>
      </c>
      <c r="H94" s="10" t="str">
        <f>VLOOKUP($A94,'Institution Evaluation'!$A$56:$K$346,8,0)&amp;""</f>
        <v/>
      </c>
      <c r="I94" s="10" t="str">
        <f>VLOOKUP($A94,'Institution Evaluation'!$A$56:$K$346,9,0)&amp;""</f>
        <v>Minor Importance</v>
      </c>
      <c r="J94" s="10" t="str">
        <f>VLOOKUP($A94,'Institution Evaluation'!$A$56:$K$346,10,0)&amp;""</f>
        <v/>
      </c>
      <c r="K94" s="10">
        <f t="shared" si="19"/>
        <v>5</v>
      </c>
      <c r="L94" s="114">
        <f>IF($E94="Not Scored", "N/A",IF(AND($D94='Auto Responses'!$J$27,$H94=""),"N/A",IF(AND($D94='Auto Responses'!$J$27,$H94='Auto Responses'!$J$7),1,IF(AND($D94='Auto Responses'!$J$27,$H94='Auto Responses'!$J$8),0,IF(OR($F94=$G94,$H94='Auto Responses'!$J$7),1,0)))))</f>
        <v>1</v>
      </c>
      <c r="M94" s="10" t="str">
        <f>VLOOKUP($A94,'Institution Evaluation'!$A$56:$K$346,10,0)&amp;""</f>
        <v/>
      </c>
      <c r="N94" s="10">
        <f t="shared" si="20"/>
        <v>0</v>
      </c>
      <c r="O94" s="114">
        <f t="shared" si="24"/>
        <v>5</v>
      </c>
      <c r="P94" s="114">
        <f t="shared" si="21"/>
        <v>5</v>
      </c>
      <c r="Q94" s="114">
        <f t="shared" si="14"/>
        <v>0</v>
      </c>
      <c r="R94" s="114">
        <f t="shared" si="22"/>
        <v>0</v>
      </c>
      <c r="S94" s="114">
        <f t="shared" si="15"/>
        <v>0</v>
      </c>
      <c r="T94" s="114">
        <f t="shared" si="16"/>
        <v>0</v>
      </c>
      <c r="U94" s="114">
        <f t="shared" si="23"/>
        <v>33</v>
      </c>
      <c r="V94" s="114">
        <f t="shared" si="17"/>
        <v>0</v>
      </c>
    </row>
    <row r="95" spans="1:22" ht="56" x14ac:dyDescent="0.3">
      <c r="A95" s="10" t="str">
        <f>Questions!$A95</f>
        <v>AAAI-18</v>
      </c>
      <c r="B95" s="10" t="str">
        <f t="shared" si="18"/>
        <v>AAAI</v>
      </c>
      <c r="C95" s="10" t="str">
        <f>VLOOKUP($A95,Questions!$A$3:$L$333,2,0)&amp;""</f>
        <v>Does your application automatically lock the session or log out an account after a period of inactivity?</v>
      </c>
      <c r="D95" s="10" t="str">
        <f>VLOOKUP($A95,Questions!$A$3:$L$333,11,0)&amp;""</f>
        <v/>
      </c>
      <c r="E95" s="10" t="str">
        <f>VLOOKUP($A95,Questions!$A$3:$L$333,12,0)&amp;""</f>
        <v>Product</v>
      </c>
      <c r="F95" s="10" t="str">
        <f>VLOOKUP($A95,'Institution Evaluation'!$A$56:$K$346,3,0)&amp;""</f>
        <v>Yes</v>
      </c>
      <c r="G95" s="10" t="str">
        <f>VLOOKUP($A95,'Institution Evaluation'!$A$56:$K$346,7,0)&amp;""</f>
        <v>Yes</v>
      </c>
      <c r="H95" s="10" t="str">
        <f>VLOOKUP($A95,'Institution Evaluation'!$A$56:$K$346,8,0)&amp;""</f>
        <v/>
      </c>
      <c r="I95" s="10" t="str">
        <f>VLOOKUP($A95,'Institution Evaluation'!$A$56:$K$346,9,0)&amp;""</f>
        <v>Minor Importance</v>
      </c>
      <c r="J95" s="10" t="str">
        <f>VLOOKUP($A95,'Institution Evaluation'!$A$56:$K$346,10,0)&amp;""</f>
        <v/>
      </c>
      <c r="K95" s="10">
        <f t="shared" si="19"/>
        <v>5</v>
      </c>
      <c r="L95" s="114">
        <f>IF($E95="Not Scored", "N/A",IF(AND($D95='Auto Responses'!$J$27,$H95=""),"N/A",IF(AND($D95='Auto Responses'!$J$27,$H95='Auto Responses'!$J$7),1,IF(AND($D95='Auto Responses'!$J$27,$H95='Auto Responses'!$J$8),0,IF(OR($F95=$G95,$H95='Auto Responses'!$J$7),1,0)))))</f>
        <v>1</v>
      </c>
      <c r="M95" s="10" t="str">
        <f>VLOOKUP($A95,'Institution Evaluation'!$A$56:$K$346,10,0)&amp;""</f>
        <v/>
      </c>
      <c r="N95" s="10">
        <f t="shared" si="20"/>
        <v>0</v>
      </c>
      <c r="O95" s="114">
        <f t="shared" si="24"/>
        <v>5</v>
      </c>
      <c r="P95" s="114">
        <f t="shared" si="21"/>
        <v>5</v>
      </c>
      <c r="Q95" s="114">
        <f t="shared" si="14"/>
        <v>0</v>
      </c>
      <c r="R95" s="114">
        <f t="shared" si="22"/>
        <v>0</v>
      </c>
      <c r="S95" s="114">
        <f t="shared" si="15"/>
        <v>0</v>
      </c>
      <c r="T95" s="114">
        <f t="shared" si="16"/>
        <v>0</v>
      </c>
      <c r="U95" s="114">
        <f t="shared" si="23"/>
        <v>33</v>
      </c>
      <c r="V95" s="114">
        <f t="shared" si="17"/>
        <v>0</v>
      </c>
    </row>
    <row r="96" spans="1:22" ht="56" x14ac:dyDescent="0.3">
      <c r="A96" s="10" t="str">
        <f>Questions!$A96</f>
        <v>CHNG-01</v>
      </c>
      <c r="B96" s="10" t="str">
        <f t="shared" si="18"/>
        <v>CHNG</v>
      </c>
      <c r="C96" s="10" t="str">
        <f>VLOOKUP($A96,Questions!$A$3:$L$333,2,0)&amp;""</f>
        <v>Will the institution be notified of major changes to your environment that could impact the institution's security posture?*</v>
      </c>
      <c r="D96" s="10" t="str">
        <f>VLOOKUP($A96,Questions!$A$3:$L$333,11,0)&amp;""</f>
        <v/>
      </c>
      <c r="E96" s="10" t="str">
        <f>VLOOKUP($A96,Questions!$A$3:$L$333,12,0)&amp;""</f>
        <v>Organization</v>
      </c>
      <c r="F96" s="10" t="str">
        <f>VLOOKUP($A96,'Institution Evaluation'!$A$56:$K$346,3,0)&amp;""</f>
        <v>Yes</v>
      </c>
      <c r="G96" s="10" t="str">
        <f>VLOOKUP($A96,'Institution Evaluation'!$A$56:$K$346,7,0)&amp;""</f>
        <v>Yes</v>
      </c>
      <c r="H96" s="10" t="str">
        <f>VLOOKUP($A96,'Institution Evaluation'!$A$56:$K$346,8,0)&amp;""</f>
        <v/>
      </c>
      <c r="I96" s="10" t="str">
        <f>VLOOKUP($A96,'Institution Evaluation'!$A$56:$K$346,9,0)&amp;""</f>
        <v>Critical Importance</v>
      </c>
      <c r="J96" s="10" t="str">
        <f>VLOOKUP($A96,'Institution Evaluation'!$A$56:$K$346,10,0)&amp;""</f>
        <v/>
      </c>
      <c r="K96" s="10">
        <f t="shared" si="19"/>
        <v>20</v>
      </c>
      <c r="L96" s="114">
        <f>IF($E96="Not Scored", "N/A",IF(AND($D96='Auto Responses'!$J$27,$H96=""),"N/A",IF(AND($D96='Auto Responses'!$J$27,$H96='Auto Responses'!$J$7),1,IF(AND($D96='Auto Responses'!$J$27,$H96='Auto Responses'!$J$8),0,IF(OR($F96=$G96,$H96='Auto Responses'!$J$7),1,0)))))</f>
        <v>1</v>
      </c>
      <c r="M96" s="10" t="str">
        <f>VLOOKUP($A96,'Institution Evaluation'!$A$56:$K$346,10,0)&amp;""</f>
        <v/>
      </c>
      <c r="N96" s="10">
        <f t="shared" si="20"/>
        <v>1</v>
      </c>
      <c r="O96" s="114">
        <f t="shared" si="24"/>
        <v>20</v>
      </c>
      <c r="P96" s="114">
        <f t="shared" si="21"/>
        <v>20</v>
      </c>
      <c r="Q96" s="114">
        <f t="shared" si="14"/>
        <v>0</v>
      </c>
      <c r="R96" s="114">
        <f t="shared" si="22"/>
        <v>0</v>
      </c>
      <c r="S96" s="114">
        <f t="shared" si="15"/>
        <v>0</v>
      </c>
      <c r="T96" s="114">
        <f t="shared" si="16"/>
        <v>1</v>
      </c>
      <c r="U96" s="114">
        <f t="shared" si="23"/>
        <v>34</v>
      </c>
      <c r="V96" s="114">
        <f t="shared" si="17"/>
        <v>34</v>
      </c>
    </row>
    <row r="97" spans="1:22" ht="56" x14ac:dyDescent="0.3">
      <c r="A97" s="10" t="str">
        <f>Questions!$A97</f>
        <v>CHNG-02</v>
      </c>
      <c r="B97" s="10" t="str">
        <f t="shared" si="18"/>
        <v>CHNG</v>
      </c>
      <c r="C97" s="10" t="str">
        <f>VLOOKUP($A97,Questions!$A$3:$L$333,2,0)&amp;""</f>
        <v>Does the system support client customizations from one release to another?*</v>
      </c>
      <c r="D97" s="10" t="str">
        <f>VLOOKUP($A97,Questions!$A$3:$L$333,11,0)&amp;""</f>
        <v/>
      </c>
      <c r="E97" s="10" t="str">
        <f>VLOOKUP($A97,Questions!$A$3:$L$333,12,0)&amp;""</f>
        <v>Organization</v>
      </c>
      <c r="F97" s="10" t="str">
        <f>VLOOKUP($A97,'Institution Evaluation'!$A$56:$K$346,3,0)&amp;""</f>
        <v>Yes</v>
      </c>
      <c r="G97" s="10" t="str">
        <f>VLOOKUP($A97,'Institution Evaluation'!$A$56:$K$346,7,0)&amp;""</f>
        <v>Yes</v>
      </c>
      <c r="H97" s="10" t="str">
        <f>VLOOKUP($A97,'Institution Evaluation'!$A$56:$K$346,8,0)&amp;""</f>
        <v/>
      </c>
      <c r="I97" s="10" t="str">
        <f>VLOOKUP($A97,'Institution Evaluation'!$A$56:$K$346,9,0)&amp;""</f>
        <v>Critical Importance</v>
      </c>
      <c r="J97" s="10" t="str">
        <f>VLOOKUP($A97,'Institution Evaluation'!$A$56:$K$346,10,0)&amp;""</f>
        <v/>
      </c>
      <c r="K97" s="10">
        <f t="shared" si="19"/>
        <v>20</v>
      </c>
      <c r="L97" s="114">
        <f>IF($E97="Not Scored", "N/A",IF(AND($D97='Auto Responses'!$J$27,$H97=""),"N/A",IF(AND($D97='Auto Responses'!$J$27,$H97='Auto Responses'!$J$7),1,IF(AND($D97='Auto Responses'!$J$27,$H97='Auto Responses'!$J$8),0,IF(OR($F97=$G97,$H97='Auto Responses'!$J$7),1,0)))))</f>
        <v>1</v>
      </c>
      <c r="M97" s="10" t="str">
        <f>VLOOKUP($A97,'Institution Evaluation'!$A$56:$K$346,10,0)&amp;""</f>
        <v/>
      </c>
      <c r="N97" s="10">
        <f t="shared" si="20"/>
        <v>1</v>
      </c>
      <c r="O97" s="114">
        <f>IF(OR($E97="Not Scored",$F97="N/A"),"N/A",IF($J97="",$K97,IF($J97="Minor Importance",5,IF($J97="Standard Importance",10,IF($J97="Critical Importance",20,0)))))</f>
        <v>20</v>
      </c>
      <c r="P97" s="114">
        <f t="shared" si="21"/>
        <v>20</v>
      </c>
      <c r="Q97" s="114">
        <f t="shared" si="14"/>
        <v>0</v>
      </c>
      <c r="R97" s="114">
        <f t="shared" si="22"/>
        <v>0</v>
      </c>
      <c r="S97" s="114">
        <f t="shared" si="15"/>
        <v>0</v>
      </c>
      <c r="T97" s="114">
        <f t="shared" si="16"/>
        <v>1</v>
      </c>
      <c r="U97" s="114">
        <f t="shared" si="23"/>
        <v>35</v>
      </c>
      <c r="V97" s="114">
        <f t="shared" si="17"/>
        <v>35</v>
      </c>
    </row>
    <row r="98" spans="1:22" ht="56" x14ac:dyDescent="0.3">
      <c r="A98" s="10" t="str">
        <f>Questions!$A98</f>
        <v>CHNG-03</v>
      </c>
      <c r="B98" s="10" t="str">
        <f t="shared" si="18"/>
        <v>CHNG</v>
      </c>
      <c r="C98" s="10" t="str">
        <f>VLOOKUP($A98,Questions!$A$3:$L$333,2,0)&amp;""</f>
        <v>Do you have an implemented system configuration management process (e.g.,secure "gold" images, etc.)?*</v>
      </c>
      <c r="D98" s="10" t="str">
        <f>VLOOKUP($A98,Questions!$A$3:$L$333,11,0)&amp;""</f>
        <v/>
      </c>
      <c r="E98" s="10" t="str">
        <f>VLOOKUP($A98,Questions!$A$3:$L$333,12,0)&amp;""</f>
        <v>Organization</v>
      </c>
      <c r="F98" s="10" t="str">
        <f>VLOOKUP($A98,'Institution Evaluation'!$A$56:$K$346,3,0)&amp;""</f>
        <v>Yes</v>
      </c>
      <c r="G98" s="10" t="str">
        <f>VLOOKUP($A98,'Institution Evaluation'!$A$56:$K$346,7,0)&amp;""</f>
        <v>Yes</v>
      </c>
      <c r="H98" s="10" t="str">
        <f>VLOOKUP($A98,'Institution Evaluation'!$A$56:$K$346,8,0)&amp;""</f>
        <v/>
      </c>
      <c r="I98" s="10" t="str">
        <f>VLOOKUP($A98,'Institution Evaluation'!$A$56:$K$346,9,0)&amp;""</f>
        <v>Critical Importance</v>
      </c>
      <c r="J98" s="10" t="str">
        <f>VLOOKUP($A98,'Institution Evaluation'!$A$56:$K$346,10,0)&amp;""</f>
        <v/>
      </c>
      <c r="K98" s="10">
        <f t="shared" si="19"/>
        <v>20</v>
      </c>
      <c r="L98" s="114">
        <f>IF($E98="Not Scored", "N/A",IF(AND($D98='Auto Responses'!$J$27,$H98=""),"N/A",IF(AND($D98='Auto Responses'!$J$27,$H98='Auto Responses'!$J$7),1,IF(AND($D98='Auto Responses'!$J$27,$H98='Auto Responses'!$J$8),0,IF(OR($F98=$G98,$H98='Auto Responses'!$J$7),1,0)))))</f>
        <v>1</v>
      </c>
      <c r="M98" s="10" t="str">
        <f>VLOOKUP($A98,'Institution Evaluation'!$A$56:$K$346,10,0)&amp;""</f>
        <v/>
      </c>
      <c r="N98" s="10">
        <f t="shared" si="20"/>
        <v>1</v>
      </c>
      <c r="O98" s="114">
        <f>IF(OR($E98="Not Scored",$F98="N/A"),"N/A",IF($J98="",$K98,IF($J98="Minor Importance",5,IF($J98="Standard Importance",10,IF($J98="Critical Importance",20,0)))))</f>
        <v>20</v>
      </c>
      <c r="P98" s="114">
        <f t="shared" si="21"/>
        <v>20</v>
      </c>
      <c r="Q98" s="114">
        <f t="shared" si="14"/>
        <v>0</v>
      </c>
      <c r="R98" s="114">
        <f t="shared" si="22"/>
        <v>0</v>
      </c>
      <c r="S98" s="114">
        <f t="shared" si="15"/>
        <v>0</v>
      </c>
      <c r="T98" s="114">
        <f t="shared" si="16"/>
        <v>1</v>
      </c>
      <c r="U98" s="114">
        <f t="shared" si="23"/>
        <v>36</v>
      </c>
      <c r="V98" s="114">
        <f t="shared" si="17"/>
        <v>36</v>
      </c>
    </row>
    <row r="99" spans="1:22" ht="56" x14ac:dyDescent="0.3">
      <c r="A99" s="10" t="str">
        <f>Questions!$A99</f>
        <v>CHNG-04</v>
      </c>
      <c r="B99" s="10" t="str">
        <f t="shared" si="18"/>
        <v>CHNG</v>
      </c>
      <c r="C99" s="10" t="str">
        <f>VLOOKUP($A99,Questions!$A$3:$L$333,2,0)&amp;""</f>
        <v>Do you have a documented change management process?</v>
      </c>
      <c r="D99" s="10" t="str">
        <f>VLOOKUP($A99,Questions!$A$3:$L$333,11,0)&amp;""</f>
        <v/>
      </c>
      <c r="E99" s="10" t="str">
        <f>VLOOKUP($A99,Questions!$A$3:$L$333,12,0)&amp;""</f>
        <v>Organization</v>
      </c>
      <c r="F99" s="10" t="str">
        <f>VLOOKUP($A99,'Institution Evaluation'!$A$56:$K$346,3,0)&amp;""</f>
        <v>Yes</v>
      </c>
      <c r="G99" s="10" t="str">
        <f>VLOOKUP($A99,'Institution Evaluation'!$A$56:$K$346,7,0)&amp;""</f>
        <v>Yes</v>
      </c>
      <c r="H99" s="10" t="str">
        <f>VLOOKUP($A99,'Institution Evaluation'!$A$56:$K$346,8,0)&amp;""</f>
        <v/>
      </c>
      <c r="I99" s="10" t="str">
        <f>VLOOKUP($A99,'Institution Evaluation'!$A$56:$K$346,9,0)&amp;""</f>
        <v>Standard Importance</v>
      </c>
      <c r="J99" s="10" t="str">
        <f>VLOOKUP($A99,'Institution Evaluation'!$A$56:$K$346,10,0)&amp;""</f>
        <v/>
      </c>
      <c r="K99" s="10">
        <f t="shared" si="19"/>
        <v>10</v>
      </c>
      <c r="L99" s="114">
        <f>IF($E99="Not Scored", "N/A",IF(AND($D99='Auto Responses'!$J$27,$H99=""),"N/A",IF(AND($D99='Auto Responses'!$J$27,$H99='Auto Responses'!$J$7),1,IF(AND($D99='Auto Responses'!$J$27,$H99='Auto Responses'!$J$8),0,IF(OR($F99=$G99,$H99='Auto Responses'!$J$7),1,0)))))</f>
        <v>1</v>
      </c>
      <c r="M99" s="10" t="str">
        <f>VLOOKUP($A99,'Institution Evaluation'!$A$56:$K$346,10,0)&amp;""</f>
        <v/>
      </c>
      <c r="N99" s="10">
        <f t="shared" si="20"/>
        <v>0</v>
      </c>
      <c r="O99" s="114">
        <f t="shared" si="24"/>
        <v>10</v>
      </c>
      <c r="P99" s="114">
        <f t="shared" ref="P99:P130" si="25">IF(OR($O99="N/A",$L99="N/A"),"N/A",$O99*$L99)</f>
        <v>10</v>
      </c>
      <c r="Q99" s="114">
        <f t="shared" si="14"/>
        <v>0</v>
      </c>
      <c r="R99" s="114">
        <f t="shared" si="22"/>
        <v>0</v>
      </c>
      <c r="S99" s="114">
        <f t="shared" si="15"/>
        <v>0</v>
      </c>
      <c r="T99" s="114">
        <f t="shared" si="16"/>
        <v>0</v>
      </c>
      <c r="U99" s="114">
        <f t="shared" si="23"/>
        <v>36</v>
      </c>
      <c r="V99" s="114">
        <f t="shared" si="17"/>
        <v>0</v>
      </c>
    </row>
    <row r="100" spans="1:22" ht="56" x14ac:dyDescent="0.3">
      <c r="A100" s="10" t="str">
        <f>Questions!$A100</f>
        <v>CHNG-05</v>
      </c>
      <c r="B100" s="10" t="str">
        <f t="shared" si="18"/>
        <v>CHNG</v>
      </c>
      <c r="C100" s="10" t="str">
        <f>VLOOKUP($A100,Questions!$A$3:$L$333,2,0)&amp;""</f>
        <v>Does your change management process minimally include authorization, impact analysis, testing, and validation before moving changes to production?</v>
      </c>
      <c r="D100" s="10" t="str">
        <f>VLOOKUP($A100,Questions!$A$3:$L$333,11,0)&amp;""</f>
        <v/>
      </c>
      <c r="E100" s="10" t="str">
        <f>VLOOKUP($A100,Questions!$A$3:$L$333,12,0)&amp;""</f>
        <v>Organization</v>
      </c>
      <c r="F100" s="10" t="str">
        <f>VLOOKUP($A100,'Institution Evaluation'!$A$56:$K$346,3,0)&amp;""</f>
        <v>Yes</v>
      </c>
      <c r="G100" s="10" t="str">
        <f>VLOOKUP($A100,'Institution Evaluation'!$A$56:$K$346,7,0)&amp;""</f>
        <v>Yes</v>
      </c>
      <c r="H100" s="10" t="str">
        <f>VLOOKUP($A100,'Institution Evaluation'!$A$56:$K$346,8,0)&amp;""</f>
        <v/>
      </c>
      <c r="I100" s="10" t="str">
        <f>VLOOKUP($A100,'Institution Evaluation'!$A$56:$K$346,9,0)&amp;""</f>
        <v>Standard Importance</v>
      </c>
      <c r="J100" s="10" t="str">
        <f>VLOOKUP($A100,'Institution Evaluation'!$A$56:$K$346,10,0)&amp;""</f>
        <v/>
      </c>
      <c r="K100" s="10">
        <f t="shared" si="19"/>
        <v>10</v>
      </c>
      <c r="L100" s="114">
        <f>IF($E100="Not Scored", "N/A",IF(AND($D100='Auto Responses'!$J$27,$H100=""),"N/A",IF(AND($D100='Auto Responses'!$J$27,$H100='Auto Responses'!$J$7),1,IF(AND($D100='Auto Responses'!$J$27,$H100='Auto Responses'!$J$8),0,IF(OR($F100=$G100,$H100='Auto Responses'!$J$7),1,0)))))</f>
        <v>1</v>
      </c>
      <c r="M100" s="10" t="str">
        <f>VLOOKUP($A100,'Institution Evaluation'!$A$56:$K$346,10,0)&amp;""</f>
        <v/>
      </c>
      <c r="N100" s="10">
        <f t="shared" si="20"/>
        <v>0</v>
      </c>
      <c r="O100" s="114">
        <f t="shared" si="24"/>
        <v>10</v>
      </c>
      <c r="P100" s="114">
        <f t="shared" si="25"/>
        <v>10</v>
      </c>
      <c r="Q100" s="114">
        <f t="shared" si="14"/>
        <v>0</v>
      </c>
      <c r="R100" s="114">
        <f t="shared" si="22"/>
        <v>0</v>
      </c>
      <c r="S100" s="114">
        <f t="shared" si="15"/>
        <v>0</v>
      </c>
      <c r="T100" s="114">
        <f t="shared" si="16"/>
        <v>0</v>
      </c>
      <c r="U100" s="114">
        <f t="shared" si="23"/>
        <v>36</v>
      </c>
      <c r="V100" s="114">
        <f t="shared" si="17"/>
        <v>0</v>
      </c>
    </row>
    <row r="101" spans="1:22" ht="56" x14ac:dyDescent="0.3">
      <c r="A101" s="10" t="str">
        <f>Questions!$A101</f>
        <v>CHNG-06</v>
      </c>
      <c r="B101" s="10" t="str">
        <f t="shared" si="18"/>
        <v>CHNG</v>
      </c>
      <c r="C101" s="10" t="str">
        <f>VLOOKUP($A101,Questions!$A$3:$L$333,2,0)&amp;""</f>
        <v>Does your change management process verify that all required third-party libraries and dependencies are still supported with each major change?</v>
      </c>
      <c r="D101" s="10" t="str">
        <f>VLOOKUP($A101,Questions!$A$3:$L$333,11,0)&amp;""</f>
        <v/>
      </c>
      <c r="E101" s="10" t="str">
        <f>VLOOKUP($A101,Questions!$A$3:$L$333,12,0)&amp;""</f>
        <v>Organization</v>
      </c>
      <c r="F101" s="10" t="str">
        <f>VLOOKUP($A101,'Institution Evaluation'!$A$56:$K$346,3,0)&amp;""</f>
        <v>Yes</v>
      </c>
      <c r="G101" s="10" t="str">
        <f>VLOOKUP($A101,'Institution Evaluation'!$A$56:$K$346,7,0)&amp;""</f>
        <v>Yes</v>
      </c>
      <c r="H101" s="10" t="str">
        <f>VLOOKUP($A101,'Institution Evaluation'!$A$56:$K$346,8,0)&amp;""</f>
        <v/>
      </c>
      <c r="I101" s="10" t="str">
        <f>VLOOKUP($A101,'Institution Evaluation'!$A$56:$K$346,9,0)&amp;""</f>
        <v>Standard Importance</v>
      </c>
      <c r="J101" s="10" t="str">
        <f>VLOOKUP($A101,'Institution Evaluation'!$A$56:$K$346,10,0)&amp;""</f>
        <v/>
      </c>
      <c r="K101" s="10">
        <f t="shared" si="19"/>
        <v>10</v>
      </c>
      <c r="L101" s="114">
        <f>IF($E101="Not Scored", "N/A",IF(AND($D101='Auto Responses'!$J$27,$H101=""),"N/A",IF(AND($D101='Auto Responses'!$J$27,$H101='Auto Responses'!$J$7),1,IF(AND($D101='Auto Responses'!$J$27,$H101='Auto Responses'!$J$8),0,IF(OR($F101=$G101,$H101='Auto Responses'!$J$7),1,0)))))</f>
        <v>1</v>
      </c>
      <c r="M101" s="10" t="str">
        <f>VLOOKUP($A101,'Institution Evaluation'!$A$56:$K$346,10,0)&amp;""</f>
        <v/>
      </c>
      <c r="N101" s="10">
        <f t="shared" si="20"/>
        <v>0</v>
      </c>
      <c r="O101" s="114">
        <f t="shared" si="24"/>
        <v>10</v>
      </c>
      <c r="P101" s="114">
        <f t="shared" si="25"/>
        <v>10</v>
      </c>
      <c r="Q101" s="114">
        <f t="shared" si="14"/>
        <v>0</v>
      </c>
      <c r="R101" s="114">
        <f t="shared" si="22"/>
        <v>0</v>
      </c>
      <c r="S101" s="114">
        <f t="shared" si="15"/>
        <v>0</v>
      </c>
      <c r="T101" s="114">
        <f t="shared" si="16"/>
        <v>0</v>
      </c>
      <c r="U101" s="114">
        <f t="shared" si="23"/>
        <v>36</v>
      </c>
      <c r="V101" s="114">
        <f t="shared" si="17"/>
        <v>0</v>
      </c>
    </row>
    <row r="102" spans="1:22" ht="56" x14ac:dyDescent="0.3">
      <c r="A102" s="10" t="str">
        <f>Questions!$A102</f>
        <v>CHNG-07</v>
      </c>
      <c r="B102" s="10" t="str">
        <f t="shared" si="18"/>
        <v>CHNG</v>
      </c>
      <c r="C102" s="10" t="str">
        <f>VLOOKUP($A102,Questions!$A$3:$L$333,2,0)&amp;""</f>
        <v>Do you have policy and procedure, currently implemented, managing how critical patches are applied to all systems and applications?</v>
      </c>
      <c r="D102" s="10" t="str">
        <f>VLOOKUP($A102,Questions!$A$3:$L$333,11,0)&amp;""</f>
        <v/>
      </c>
      <c r="E102" s="10" t="str">
        <f>VLOOKUP($A102,Questions!$A$3:$L$333,12,0)&amp;""</f>
        <v>Organization</v>
      </c>
      <c r="F102" s="10" t="str">
        <f>VLOOKUP($A102,'Institution Evaluation'!$A$56:$K$346,3,0)&amp;""</f>
        <v>Yes</v>
      </c>
      <c r="G102" s="10" t="str">
        <f>VLOOKUP($A102,'Institution Evaluation'!$A$56:$K$346,7,0)&amp;""</f>
        <v>Yes</v>
      </c>
      <c r="H102" s="10" t="str">
        <f>VLOOKUP($A102,'Institution Evaluation'!$A$56:$K$346,8,0)&amp;""</f>
        <v/>
      </c>
      <c r="I102" s="10" t="str">
        <f>VLOOKUP($A102,'Institution Evaluation'!$A$56:$K$346,9,0)&amp;""</f>
        <v>Standard Importance</v>
      </c>
      <c r="J102" s="10" t="str">
        <f>VLOOKUP($A102,'Institution Evaluation'!$A$56:$K$346,10,0)&amp;""</f>
        <v/>
      </c>
      <c r="K102" s="10">
        <f t="shared" si="19"/>
        <v>10</v>
      </c>
      <c r="L102" s="114">
        <f>IF($E102="Not Scored", "N/A",IF(AND($D102='Auto Responses'!$J$27,$H102=""),"N/A",IF(AND($D102='Auto Responses'!$J$27,$H102='Auto Responses'!$J$7),1,IF(AND($D102='Auto Responses'!$J$27,$H102='Auto Responses'!$J$8),0,IF(OR($F102=$G102,$H102='Auto Responses'!$J$7),1,0)))))</f>
        <v>1</v>
      </c>
      <c r="M102" s="10" t="str">
        <f>VLOOKUP($A102,'Institution Evaluation'!$A$56:$K$346,10,0)&amp;""</f>
        <v/>
      </c>
      <c r="N102" s="10">
        <f t="shared" si="20"/>
        <v>0</v>
      </c>
      <c r="O102" s="114">
        <f t="shared" si="24"/>
        <v>10</v>
      </c>
      <c r="P102" s="114">
        <f t="shared" si="25"/>
        <v>10</v>
      </c>
      <c r="Q102" s="114">
        <f t="shared" si="14"/>
        <v>0</v>
      </c>
      <c r="R102" s="114">
        <f t="shared" si="22"/>
        <v>0</v>
      </c>
      <c r="S102" s="114">
        <f t="shared" si="15"/>
        <v>0</v>
      </c>
      <c r="T102" s="114">
        <f t="shared" si="16"/>
        <v>0</v>
      </c>
      <c r="U102" s="114">
        <f t="shared" si="23"/>
        <v>36</v>
      </c>
      <c r="V102" s="114">
        <f t="shared" si="17"/>
        <v>0</v>
      </c>
    </row>
    <row r="103" spans="1:22" ht="56" x14ac:dyDescent="0.3">
      <c r="A103" s="10" t="str">
        <f>Questions!$A103</f>
        <v>CHNG-08</v>
      </c>
      <c r="B103" s="10" t="str">
        <f t="shared" si="18"/>
        <v>CHNG</v>
      </c>
      <c r="C103" s="10" t="str">
        <f>VLOOKUP($A103,Questions!$A$3:$L$333,2,0)&amp;""</f>
        <v>Have you implemented policies and procedures that guide how security risks are mitigated until patches can be applied?</v>
      </c>
      <c r="D103" s="10" t="str">
        <f>VLOOKUP($A103,Questions!$A$3:$L$333,11,0)&amp;""</f>
        <v/>
      </c>
      <c r="E103" s="10" t="str">
        <f>VLOOKUP($A103,Questions!$A$3:$L$333,12,0)&amp;""</f>
        <v>Organization</v>
      </c>
      <c r="F103" s="10" t="str">
        <f>VLOOKUP($A103,'Institution Evaluation'!$A$56:$K$346,3,0)&amp;""</f>
        <v>Yes</v>
      </c>
      <c r="G103" s="10" t="str">
        <f>VLOOKUP($A103,'Institution Evaluation'!$A$56:$K$346,7,0)&amp;""</f>
        <v>Yes</v>
      </c>
      <c r="H103" s="10" t="str">
        <f>VLOOKUP($A103,'Institution Evaluation'!$A$56:$K$346,8,0)&amp;""</f>
        <v/>
      </c>
      <c r="I103" s="10" t="str">
        <f>VLOOKUP($A103,'Institution Evaluation'!$A$56:$K$346,9,0)&amp;""</f>
        <v>Standard Importance</v>
      </c>
      <c r="J103" s="10" t="str">
        <f>VLOOKUP($A103,'Institution Evaluation'!$A$56:$K$346,10,0)&amp;""</f>
        <v/>
      </c>
      <c r="K103" s="10">
        <f t="shared" si="19"/>
        <v>10</v>
      </c>
      <c r="L103" s="114">
        <f>IF($E103="Not Scored", "N/A",IF(AND($D103='Auto Responses'!$J$27,$H103=""),"N/A",IF(AND($D103='Auto Responses'!$J$27,$H103='Auto Responses'!$J$7),1,IF(AND($D103='Auto Responses'!$J$27,$H103='Auto Responses'!$J$8),0,IF(OR($F103=$G103,$H103='Auto Responses'!$J$7),1,0)))))</f>
        <v>1</v>
      </c>
      <c r="M103" s="10" t="str">
        <f>VLOOKUP($A103,'Institution Evaluation'!$A$56:$K$346,10,0)&amp;""</f>
        <v/>
      </c>
      <c r="N103" s="10">
        <f t="shared" si="20"/>
        <v>0</v>
      </c>
      <c r="O103" s="114">
        <f t="shared" si="24"/>
        <v>10</v>
      </c>
      <c r="P103" s="114">
        <f t="shared" si="25"/>
        <v>10</v>
      </c>
      <c r="Q103" s="114">
        <f t="shared" si="14"/>
        <v>0</v>
      </c>
      <c r="R103" s="114">
        <f t="shared" si="22"/>
        <v>0</v>
      </c>
      <c r="S103" s="114">
        <f t="shared" si="15"/>
        <v>0</v>
      </c>
      <c r="T103" s="114">
        <f t="shared" si="16"/>
        <v>0</v>
      </c>
      <c r="U103" s="114">
        <f t="shared" si="23"/>
        <v>36</v>
      </c>
      <c r="V103" s="114">
        <f t="shared" si="17"/>
        <v>0</v>
      </c>
    </row>
    <row r="104" spans="1:22" ht="56" x14ac:dyDescent="0.3">
      <c r="A104" s="10" t="str">
        <f>Questions!$A104</f>
        <v>CHNG-09</v>
      </c>
      <c r="B104" s="10" t="str">
        <f t="shared" si="18"/>
        <v>CHNG</v>
      </c>
      <c r="C104" s="10" t="str">
        <f>VLOOKUP($A104,Questions!$A$3:$L$333,2,0)&amp;""</f>
        <v>Do clients have the option to not participate in or postpone an upgrade to a new release?</v>
      </c>
      <c r="D104" s="10" t="str">
        <f>VLOOKUP($A104,Questions!$A$3:$L$333,11,0)&amp;""</f>
        <v/>
      </c>
      <c r="E104" s="10" t="str">
        <f>VLOOKUP($A104,Questions!$A$3:$L$333,12,0)&amp;""</f>
        <v>Organization</v>
      </c>
      <c r="F104" s="10" t="str">
        <f>VLOOKUP($A104,'Institution Evaluation'!$A$56:$K$346,3,0)&amp;""</f>
        <v>No</v>
      </c>
      <c r="G104" s="10" t="str">
        <f>VLOOKUP($A104,'Institution Evaluation'!$A$56:$K$346,7,0)&amp;""</f>
        <v>Yes</v>
      </c>
      <c r="H104" s="10" t="str">
        <f>VLOOKUP($A104,'Institution Evaluation'!$A$56:$K$346,8,0)&amp;""</f>
        <v/>
      </c>
      <c r="I104" s="10" t="str">
        <f>VLOOKUP($A104,'Institution Evaluation'!$A$56:$K$346,9,0)&amp;""</f>
        <v>Minor Importance</v>
      </c>
      <c r="J104" s="10" t="str">
        <f>VLOOKUP($A104,'Institution Evaluation'!$A$56:$K$346,10,0)&amp;""</f>
        <v/>
      </c>
      <c r="K104" s="10">
        <f t="shared" si="19"/>
        <v>5</v>
      </c>
      <c r="L104" s="114">
        <f>IF($E104="Not Scored", "N/A",IF(AND($D104='Auto Responses'!$J$27,$H104=""),"N/A",IF(AND($D104='Auto Responses'!$J$27,$H104='Auto Responses'!$J$7),1,IF(AND($D104='Auto Responses'!$J$27,$H104='Auto Responses'!$J$8),0,IF(OR($F104=$G104,$H104='Auto Responses'!$J$7),1,0)))))</f>
        <v>0</v>
      </c>
      <c r="M104" s="10" t="str">
        <f>VLOOKUP($A104,'Institution Evaluation'!$A$56:$K$346,10,0)&amp;""</f>
        <v/>
      </c>
      <c r="N104" s="10">
        <f t="shared" si="20"/>
        <v>0</v>
      </c>
      <c r="O104" s="114">
        <f t="shared" si="24"/>
        <v>5</v>
      </c>
      <c r="P104" s="114">
        <f t="shared" si="25"/>
        <v>0</v>
      </c>
      <c r="Q104" s="114">
        <f t="shared" si="14"/>
        <v>0</v>
      </c>
      <c r="R104" s="114">
        <f t="shared" si="22"/>
        <v>0</v>
      </c>
      <c r="S104" s="114">
        <f t="shared" si="15"/>
        <v>0</v>
      </c>
      <c r="T104" s="114">
        <f t="shared" si="16"/>
        <v>0</v>
      </c>
      <c r="U104" s="114">
        <f t="shared" si="23"/>
        <v>36</v>
      </c>
      <c r="V104" s="114">
        <f t="shared" si="17"/>
        <v>0</v>
      </c>
    </row>
    <row r="105" spans="1:22" ht="56" x14ac:dyDescent="0.3">
      <c r="A105" s="10" t="str">
        <f>Questions!$A105</f>
        <v>CHNG-10</v>
      </c>
      <c r="B105" s="10" t="str">
        <f t="shared" si="18"/>
        <v>CHNG</v>
      </c>
      <c r="C105" s="10" t="str">
        <f>VLOOKUP($A105,Questions!$A$3:$L$333,2,0)&amp;""</f>
        <v>Do you have a fully implemented solution support strategy that defines how many concurrent versions you support?</v>
      </c>
      <c r="D105" s="10" t="str">
        <f>VLOOKUP($A105,Questions!$A$3:$L$333,11,0)&amp;""</f>
        <v/>
      </c>
      <c r="E105" s="10" t="str">
        <f>VLOOKUP($A105,Questions!$A$3:$L$333,12,0)&amp;""</f>
        <v>Organization</v>
      </c>
      <c r="F105" s="10" t="str">
        <f>VLOOKUP($A105,'Institution Evaluation'!$A$56:$K$346,3,0)&amp;""</f>
        <v>Yes</v>
      </c>
      <c r="G105" s="10" t="str">
        <f>VLOOKUP($A105,'Institution Evaluation'!$A$56:$K$346,7,0)&amp;""</f>
        <v>Yes</v>
      </c>
      <c r="H105" s="10" t="str">
        <f>VLOOKUP($A105,'Institution Evaluation'!$A$56:$K$346,8,0)&amp;""</f>
        <v/>
      </c>
      <c r="I105" s="10" t="str">
        <f>VLOOKUP($A105,'Institution Evaluation'!$A$56:$K$346,9,0)&amp;""</f>
        <v>Minor Importance</v>
      </c>
      <c r="J105" s="10" t="str">
        <f>VLOOKUP($A105,'Institution Evaluation'!$A$56:$K$346,10,0)&amp;""</f>
        <v/>
      </c>
      <c r="K105" s="10">
        <f t="shared" si="19"/>
        <v>5</v>
      </c>
      <c r="L105" s="114">
        <f>IF($E105="Not Scored", "N/A",IF(AND($D105='Auto Responses'!$J$27,$H105=""),"N/A",IF(AND($D105='Auto Responses'!$J$27,$H105='Auto Responses'!$J$7),1,IF(AND($D105='Auto Responses'!$J$27,$H105='Auto Responses'!$J$8),0,IF(OR($F105=$G105,$H105='Auto Responses'!$J$7),1,0)))))</f>
        <v>1</v>
      </c>
      <c r="M105" s="10" t="str">
        <f>VLOOKUP($A105,'Institution Evaluation'!$A$56:$K$346,10,0)&amp;""</f>
        <v/>
      </c>
      <c r="N105" s="10">
        <f t="shared" si="20"/>
        <v>0</v>
      </c>
      <c r="O105" s="114">
        <f t="shared" si="24"/>
        <v>5</v>
      </c>
      <c r="P105" s="114">
        <f t="shared" si="25"/>
        <v>5</v>
      </c>
      <c r="Q105" s="114">
        <f t="shared" si="14"/>
        <v>0</v>
      </c>
      <c r="R105" s="114">
        <f t="shared" si="22"/>
        <v>0</v>
      </c>
      <c r="S105" s="114">
        <f t="shared" si="15"/>
        <v>0</v>
      </c>
      <c r="T105" s="114">
        <f t="shared" si="16"/>
        <v>0</v>
      </c>
      <c r="U105" s="114">
        <f t="shared" si="23"/>
        <v>36</v>
      </c>
      <c r="V105" s="114">
        <f t="shared" si="17"/>
        <v>0</v>
      </c>
    </row>
    <row r="106" spans="1:22" ht="56" x14ac:dyDescent="0.3">
      <c r="A106" s="10" t="str">
        <f>Questions!$A106</f>
        <v>CHNG-11</v>
      </c>
      <c r="B106" s="10" t="str">
        <f t="shared" si="18"/>
        <v>CHNG</v>
      </c>
      <c r="C106" s="10" t="str">
        <f>VLOOKUP($A106,Questions!$A$3:$L$333,2,0)&amp;""</f>
        <v>Do you have a release schedule for product updates?</v>
      </c>
      <c r="D106" s="10" t="str">
        <f>VLOOKUP($A106,Questions!$A$3:$L$333,11,0)&amp;""</f>
        <v/>
      </c>
      <c r="E106" s="10" t="str">
        <f>VLOOKUP($A106,Questions!$A$3:$L$333,12,0)&amp;""</f>
        <v>Organization</v>
      </c>
      <c r="F106" s="10" t="str">
        <f>VLOOKUP($A106,'Institution Evaluation'!$A$56:$K$346,3,0)&amp;""</f>
        <v>Yes</v>
      </c>
      <c r="G106" s="10" t="str">
        <f>VLOOKUP($A106,'Institution Evaluation'!$A$56:$K$346,7,0)&amp;""</f>
        <v>Yes</v>
      </c>
      <c r="H106" s="10" t="str">
        <f>VLOOKUP($A106,'Institution Evaluation'!$A$56:$K$346,8,0)&amp;""</f>
        <v/>
      </c>
      <c r="I106" s="10" t="str">
        <f>VLOOKUP($A106,'Institution Evaluation'!$A$56:$K$346,9,0)&amp;""</f>
        <v>Minor Importance</v>
      </c>
      <c r="J106" s="10" t="str">
        <f>VLOOKUP($A106,'Institution Evaluation'!$A$56:$K$346,10,0)&amp;""</f>
        <v/>
      </c>
      <c r="K106" s="10">
        <f t="shared" si="19"/>
        <v>5</v>
      </c>
      <c r="L106" s="114">
        <f>IF($E106="Not Scored", "N/A",IF(AND($D106='Auto Responses'!$J$27,$H106=""),"N/A",IF(AND($D106='Auto Responses'!$J$27,$H106='Auto Responses'!$J$7),1,IF(AND($D106='Auto Responses'!$J$27,$H106='Auto Responses'!$J$8),0,IF(OR($F106=$G106,$H106='Auto Responses'!$J$7),1,0)))))</f>
        <v>1</v>
      </c>
      <c r="M106" s="10" t="str">
        <f>VLOOKUP($A106,'Institution Evaluation'!$A$56:$K$346,10,0)&amp;""</f>
        <v/>
      </c>
      <c r="N106" s="10">
        <f t="shared" si="20"/>
        <v>0</v>
      </c>
      <c r="O106" s="114">
        <f t="shared" si="24"/>
        <v>5</v>
      </c>
      <c r="P106" s="114">
        <f t="shared" si="25"/>
        <v>5</v>
      </c>
      <c r="Q106" s="114">
        <f t="shared" si="14"/>
        <v>0</v>
      </c>
      <c r="R106" s="114">
        <f t="shared" si="22"/>
        <v>0</v>
      </c>
      <c r="S106" s="114">
        <f t="shared" si="15"/>
        <v>0</v>
      </c>
      <c r="T106" s="114">
        <f t="shared" si="16"/>
        <v>0</v>
      </c>
      <c r="U106" s="114">
        <f t="shared" si="23"/>
        <v>36</v>
      </c>
      <c r="V106" s="114">
        <f t="shared" si="17"/>
        <v>0</v>
      </c>
    </row>
    <row r="107" spans="1:22" ht="56" x14ac:dyDescent="0.3">
      <c r="A107" s="10" t="str">
        <f>Questions!$A107</f>
        <v>CHNG-12</v>
      </c>
      <c r="B107" s="10" t="str">
        <f t="shared" si="18"/>
        <v>CHNG</v>
      </c>
      <c r="C107" s="10" t="str">
        <f>VLOOKUP($A107,Questions!$A$3:$L$333,2,0)&amp;""</f>
        <v>Do you have a technology roadmap, for at least the next two years, for enhancements and bug fixes for the solution being assessed?</v>
      </c>
      <c r="D107" s="10" t="str">
        <f>VLOOKUP($A107,Questions!$A$3:$L$333,11,0)&amp;""</f>
        <v/>
      </c>
      <c r="E107" s="10" t="str">
        <f>VLOOKUP($A107,Questions!$A$3:$L$333,12,0)&amp;""</f>
        <v>Organization</v>
      </c>
      <c r="F107" s="10" t="str">
        <f>VLOOKUP($A107,'Institution Evaluation'!$A$56:$K$346,3,0)&amp;""</f>
        <v>Yes</v>
      </c>
      <c r="G107" s="10" t="str">
        <f>VLOOKUP($A107,'Institution Evaluation'!$A$56:$K$346,7,0)&amp;""</f>
        <v>Yes</v>
      </c>
      <c r="H107" s="10" t="str">
        <f>VLOOKUP($A107,'Institution Evaluation'!$A$56:$K$346,8,0)&amp;""</f>
        <v/>
      </c>
      <c r="I107" s="10" t="str">
        <f>VLOOKUP($A107,'Institution Evaluation'!$A$56:$K$346,9,0)&amp;""</f>
        <v>Minor Importance</v>
      </c>
      <c r="J107" s="10" t="str">
        <f>VLOOKUP($A107,'Institution Evaluation'!$A$56:$K$346,10,0)&amp;""</f>
        <v/>
      </c>
      <c r="K107" s="10">
        <f t="shared" si="19"/>
        <v>5</v>
      </c>
      <c r="L107" s="114">
        <f>IF($E107="Not Scored", "N/A",IF(AND($D107='Auto Responses'!$J$27,$H107=""),"N/A",IF(AND($D107='Auto Responses'!$J$27,$H107='Auto Responses'!$J$7),1,IF(AND($D107='Auto Responses'!$J$27,$H107='Auto Responses'!$J$8),0,IF(OR($F107=$G107,$H107='Auto Responses'!$J$7),1,0)))))</f>
        <v>1</v>
      </c>
      <c r="M107" s="10" t="str">
        <f>VLOOKUP($A107,'Institution Evaluation'!$A$56:$K$346,10,0)&amp;""</f>
        <v/>
      </c>
      <c r="N107" s="10">
        <f t="shared" si="20"/>
        <v>0</v>
      </c>
      <c r="O107" s="114">
        <f t="shared" si="24"/>
        <v>5</v>
      </c>
      <c r="P107" s="114">
        <f t="shared" si="25"/>
        <v>5</v>
      </c>
      <c r="Q107" s="114">
        <f t="shared" si="14"/>
        <v>0</v>
      </c>
      <c r="R107" s="114">
        <f t="shared" si="22"/>
        <v>0</v>
      </c>
      <c r="S107" s="114">
        <f t="shared" si="15"/>
        <v>0</v>
      </c>
      <c r="T107" s="114">
        <f t="shared" si="16"/>
        <v>0</v>
      </c>
      <c r="U107" s="114">
        <f t="shared" si="23"/>
        <v>36</v>
      </c>
      <c r="V107" s="114">
        <f t="shared" si="17"/>
        <v>0</v>
      </c>
    </row>
    <row r="108" spans="1:22" ht="56" x14ac:dyDescent="0.3">
      <c r="A108" s="10" t="str">
        <f>Questions!$A108</f>
        <v>CHNG-13</v>
      </c>
      <c r="B108" s="10" t="str">
        <f t="shared" si="18"/>
        <v>CHNG</v>
      </c>
      <c r="C108" s="10" t="str">
        <f>VLOOKUP($A108,Questions!$A$3:$L$333,2,0)&amp;""</f>
        <v>Can solution updates be completed without institutional involvement (i.e., technically or organizationally)?</v>
      </c>
      <c r="D108" s="10" t="str">
        <f>VLOOKUP($A108,Questions!$A$3:$L$333,11,0)&amp;""</f>
        <v/>
      </c>
      <c r="E108" s="10" t="str">
        <f>VLOOKUP($A108,Questions!$A$3:$L$333,12,0)&amp;""</f>
        <v>Organization</v>
      </c>
      <c r="F108" s="10" t="str">
        <f>VLOOKUP($A108,'Institution Evaluation'!$A$56:$K$346,3,0)&amp;""</f>
        <v>Yes</v>
      </c>
      <c r="G108" s="10" t="str">
        <f>VLOOKUP($A108,'Institution Evaluation'!$A$56:$K$346,7,0)&amp;""</f>
        <v>Yes</v>
      </c>
      <c r="H108" s="10" t="str">
        <f>VLOOKUP($A108,'Institution Evaluation'!$A$56:$K$346,8,0)&amp;""</f>
        <v/>
      </c>
      <c r="I108" s="10" t="str">
        <f>VLOOKUP($A108,'Institution Evaluation'!$A$56:$K$346,9,0)&amp;""</f>
        <v>Minor Importance</v>
      </c>
      <c r="J108" s="10" t="str">
        <f>VLOOKUP($A108,'Institution Evaluation'!$A$56:$K$346,10,0)&amp;""</f>
        <v/>
      </c>
      <c r="K108" s="10">
        <f t="shared" si="19"/>
        <v>5</v>
      </c>
      <c r="L108" s="114">
        <f>IF($E108="Not Scored", "N/A",IF(AND($D108='Auto Responses'!$J$27,$H108=""),"N/A",IF(AND($D108='Auto Responses'!$J$27,$H108='Auto Responses'!$J$7),1,IF(AND($D108='Auto Responses'!$J$27,$H108='Auto Responses'!$J$8),0,IF(OR($F108=$G108,$H108='Auto Responses'!$J$7),1,0)))))</f>
        <v>1</v>
      </c>
      <c r="M108" s="10" t="str">
        <f>VLOOKUP($A108,'Institution Evaluation'!$A$56:$K$346,10,0)&amp;""</f>
        <v/>
      </c>
      <c r="N108" s="10">
        <f t="shared" si="20"/>
        <v>0</v>
      </c>
      <c r="O108" s="114">
        <f t="shared" si="24"/>
        <v>5</v>
      </c>
      <c r="P108" s="114">
        <f t="shared" si="25"/>
        <v>5</v>
      </c>
      <c r="Q108" s="114">
        <f t="shared" si="14"/>
        <v>0</v>
      </c>
      <c r="R108" s="114">
        <f t="shared" si="22"/>
        <v>0</v>
      </c>
      <c r="S108" s="114">
        <f t="shared" si="15"/>
        <v>0</v>
      </c>
      <c r="T108" s="114">
        <f t="shared" si="16"/>
        <v>0</v>
      </c>
      <c r="U108" s="114">
        <f t="shared" si="23"/>
        <v>36</v>
      </c>
      <c r="V108" s="114">
        <f t="shared" si="17"/>
        <v>0</v>
      </c>
    </row>
    <row r="109" spans="1:22" ht="56" x14ac:dyDescent="0.3">
      <c r="A109" s="10" t="str">
        <f>Questions!$A109</f>
        <v>CHNG-14</v>
      </c>
      <c r="B109" s="10" t="str">
        <f t="shared" si="18"/>
        <v>CHNG</v>
      </c>
      <c r="C109" s="10" t="str">
        <f>VLOOKUP($A109,Questions!$A$3:$L$333,2,0)&amp;""</f>
        <v>Are upgrades or system changes installed during off-peak hours or in a manner that does not impact the customer?</v>
      </c>
      <c r="D109" s="10" t="str">
        <f>VLOOKUP($A109,Questions!$A$3:$L$333,11,0)&amp;""</f>
        <v/>
      </c>
      <c r="E109" s="10" t="str">
        <f>VLOOKUP($A109,Questions!$A$3:$L$333,12,0)&amp;""</f>
        <v>Organization</v>
      </c>
      <c r="F109" s="10" t="str">
        <f>VLOOKUP($A109,'Institution Evaluation'!$A$56:$K$346,3,0)&amp;""</f>
        <v>Yes</v>
      </c>
      <c r="G109" s="10" t="str">
        <f>VLOOKUP($A109,'Institution Evaluation'!$A$56:$K$346,7,0)&amp;""</f>
        <v>Yes</v>
      </c>
      <c r="H109" s="10" t="str">
        <f>VLOOKUP($A109,'Institution Evaluation'!$A$56:$K$346,8,0)&amp;""</f>
        <v/>
      </c>
      <c r="I109" s="10" t="str">
        <f>VLOOKUP($A109,'Institution Evaluation'!$A$56:$K$346,9,0)&amp;""</f>
        <v>Minor Importance</v>
      </c>
      <c r="J109" s="10" t="str">
        <f>VLOOKUP($A109,'Institution Evaluation'!$A$56:$K$346,10,0)&amp;""</f>
        <v/>
      </c>
      <c r="K109" s="10">
        <f t="shared" si="19"/>
        <v>5</v>
      </c>
      <c r="L109" s="114">
        <f>IF($E109="Not Scored", "N/A",IF(AND($D109='Auto Responses'!$J$27,$H109=""),"N/A",IF(AND($D109='Auto Responses'!$J$27,$H109='Auto Responses'!$J$7),1,IF(AND($D109='Auto Responses'!$J$27,$H109='Auto Responses'!$J$8),0,IF(OR($F109=$G109,$H109='Auto Responses'!$J$7),1,0)))))</f>
        <v>1</v>
      </c>
      <c r="M109" s="10" t="str">
        <f>VLOOKUP($A109,'Institution Evaluation'!$A$56:$K$346,10,0)&amp;""</f>
        <v/>
      </c>
      <c r="N109" s="10">
        <f t="shared" si="20"/>
        <v>0</v>
      </c>
      <c r="O109" s="114">
        <f t="shared" si="24"/>
        <v>5</v>
      </c>
      <c r="P109" s="114">
        <f t="shared" si="25"/>
        <v>5</v>
      </c>
      <c r="Q109" s="114">
        <f t="shared" si="14"/>
        <v>0</v>
      </c>
      <c r="R109" s="114">
        <f t="shared" si="22"/>
        <v>0</v>
      </c>
      <c r="S109" s="114">
        <f t="shared" si="15"/>
        <v>0</v>
      </c>
      <c r="T109" s="114">
        <f t="shared" si="16"/>
        <v>0</v>
      </c>
      <c r="U109" s="114">
        <f t="shared" si="23"/>
        <v>36</v>
      </c>
      <c r="V109" s="114">
        <f t="shared" si="17"/>
        <v>0</v>
      </c>
    </row>
    <row r="110" spans="1:22" ht="56" x14ac:dyDescent="0.3">
      <c r="A110" s="10" t="str">
        <f>Questions!$A110</f>
        <v>CHNG-15</v>
      </c>
      <c r="B110" s="10" t="str">
        <f t="shared" si="18"/>
        <v>CHNG</v>
      </c>
      <c r="C110" s="10" t="str">
        <f>VLOOKUP($A110,Questions!$A$3:$L$333,2,0)&amp;""</f>
        <v>Do procedures exist to provide that emergency changes are documented and authorized (including after-the-fact approval)?</v>
      </c>
      <c r="D110" s="10" t="str">
        <f>VLOOKUP($A110,Questions!$A$3:$L$333,11,0)&amp;""</f>
        <v/>
      </c>
      <c r="E110" s="10" t="str">
        <f>VLOOKUP($A110,Questions!$A$3:$L$333,12,0)&amp;""</f>
        <v>Organization</v>
      </c>
      <c r="F110" s="10" t="str">
        <f>VLOOKUP($A110,'Institution Evaluation'!$A$56:$K$346,3,0)&amp;""</f>
        <v>Yes</v>
      </c>
      <c r="G110" s="10" t="str">
        <f>VLOOKUP($A110,'Institution Evaluation'!$A$56:$K$346,7,0)&amp;""</f>
        <v>Yes</v>
      </c>
      <c r="H110" s="10" t="str">
        <f>VLOOKUP($A110,'Institution Evaluation'!$A$56:$K$346,8,0)&amp;""</f>
        <v/>
      </c>
      <c r="I110" s="10" t="str">
        <f>VLOOKUP($A110,'Institution Evaluation'!$A$56:$K$346,9,0)&amp;""</f>
        <v>Minor Importance</v>
      </c>
      <c r="J110" s="10" t="str">
        <f>VLOOKUP($A110,'Institution Evaluation'!$A$56:$K$346,10,0)&amp;""</f>
        <v/>
      </c>
      <c r="K110" s="10">
        <f t="shared" si="19"/>
        <v>5</v>
      </c>
      <c r="L110" s="114">
        <f>IF($E110="Not Scored", "N/A",IF(AND($D110='Auto Responses'!$J$27,$H110=""),"N/A",IF(AND($D110='Auto Responses'!$J$27,$H110='Auto Responses'!$J$7),1,IF(AND($D110='Auto Responses'!$J$27,$H110='Auto Responses'!$J$8),0,IF(OR($F110=$G110,$H110='Auto Responses'!$J$7),1,0)))))</f>
        <v>1</v>
      </c>
      <c r="M110" s="10" t="str">
        <f>VLOOKUP($A110,'Institution Evaluation'!$A$56:$K$346,10,0)&amp;""</f>
        <v/>
      </c>
      <c r="N110" s="10">
        <f t="shared" si="20"/>
        <v>0</v>
      </c>
      <c r="O110" s="114">
        <f t="shared" si="24"/>
        <v>5</v>
      </c>
      <c r="P110" s="114">
        <f t="shared" si="25"/>
        <v>5</v>
      </c>
      <c r="Q110" s="114">
        <f t="shared" si="14"/>
        <v>0</v>
      </c>
      <c r="R110" s="114">
        <f t="shared" si="22"/>
        <v>0</v>
      </c>
      <c r="S110" s="114">
        <f t="shared" si="15"/>
        <v>0</v>
      </c>
      <c r="T110" s="114">
        <f t="shared" si="16"/>
        <v>0</v>
      </c>
      <c r="U110" s="114">
        <f t="shared" si="23"/>
        <v>36</v>
      </c>
      <c r="V110" s="114">
        <f t="shared" si="17"/>
        <v>0</v>
      </c>
    </row>
    <row r="111" spans="1:22" ht="56" x14ac:dyDescent="0.3">
      <c r="A111" s="10" t="str">
        <f>Questions!$A111</f>
        <v>CHNG-16</v>
      </c>
      <c r="B111" s="10" t="str">
        <f t="shared" si="18"/>
        <v>CHNG</v>
      </c>
      <c r="C111" s="10" t="str">
        <f>VLOOKUP($A111,Questions!$A$3:$L$333,2,0)&amp;""</f>
        <v>Do you have a systems management and configuration strategy that encompasses servers, appliances, cloud services, applications, and mobile devices (company and employee owned)?</v>
      </c>
      <c r="D111" s="10" t="str">
        <f>VLOOKUP($A111,Questions!$A$3:$L$333,11,0)&amp;""</f>
        <v/>
      </c>
      <c r="E111" s="10" t="str">
        <f>VLOOKUP($A111,Questions!$A$3:$L$333,12,0)&amp;""</f>
        <v>Organization</v>
      </c>
      <c r="F111" s="10" t="str">
        <f>VLOOKUP($A111,'Institution Evaluation'!$A$56:$K$346,3,0)&amp;""</f>
        <v>Yes</v>
      </c>
      <c r="G111" s="10" t="str">
        <f>VLOOKUP($A111,'Institution Evaluation'!$A$56:$K$346,7,0)&amp;""</f>
        <v>Yes</v>
      </c>
      <c r="H111" s="10" t="str">
        <f>VLOOKUP($A111,'Institution Evaluation'!$A$56:$K$346,8,0)&amp;""</f>
        <v/>
      </c>
      <c r="I111" s="10" t="str">
        <f>VLOOKUP($A111,'Institution Evaluation'!$A$56:$K$346,9,0)&amp;""</f>
        <v>Minor Importance</v>
      </c>
      <c r="J111" s="10" t="str">
        <f>VLOOKUP($A111,'Institution Evaluation'!$A$56:$K$346,10,0)&amp;""</f>
        <v/>
      </c>
      <c r="K111" s="10">
        <f t="shared" si="19"/>
        <v>5</v>
      </c>
      <c r="L111" s="114">
        <f>IF($E111="Not Scored", "N/A",IF(AND($D111='Auto Responses'!$J$27,$H111=""),"N/A",IF(AND($D111='Auto Responses'!$J$27,$H111='Auto Responses'!$J$7),1,IF(AND($D111='Auto Responses'!$J$27,$H111='Auto Responses'!$J$8),0,IF(OR($F111=$G111,$H111='Auto Responses'!$J$7),1,0)))))</f>
        <v>1</v>
      </c>
      <c r="M111" s="10" t="str">
        <f>VLOOKUP($A111,'Institution Evaluation'!$A$56:$K$346,10,0)&amp;""</f>
        <v/>
      </c>
      <c r="N111" s="10">
        <f t="shared" si="20"/>
        <v>0</v>
      </c>
      <c r="O111" s="114">
        <f t="shared" si="24"/>
        <v>5</v>
      </c>
      <c r="P111" s="114">
        <f t="shared" si="25"/>
        <v>5</v>
      </c>
      <c r="Q111" s="114">
        <f t="shared" si="14"/>
        <v>0</v>
      </c>
      <c r="R111" s="114">
        <f t="shared" si="22"/>
        <v>0</v>
      </c>
      <c r="S111" s="114">
        <f t="shared" si="15"/>
        <v>0</v>
      </c>
      <c r="T111" s="114">
        <f t="shared" si="16"/>
        <v>0</v>
      </c>
      <c r="U111" s="114">
        <f t="shared" si="23"/>
        <v>36</v>
      </c>
      <c r="V111" s="114">
        <f t="shared" si="17"/>
        <v>0</v>
      </c>
    </row>
    <row r="112" spans="1:22" ht="56" x14ac:dyDescent="0.3">
      <c r="A112" s="10" t="str">
        <f>Questions!$A112</f>
        <v>DATA-01</v>
      </c>
      <c r="B112" s="10" t="str">
        <f t="shared" si="18"/>
        <v>DATA</v>
      </c>
      <c r="C112" s="10" t="str">
        <f>VLOOKUP($A112,Questions!$A$3:$L$333,2,0)&amp;""</f>
        <v>Will the institution's data be stored on any devices (database servers, file servers, SAN, NAS, etc.) configured with non-RFC 1918/4193 (i.e., publicly routable) IP addresses?*</v>
      </c>
      <c r="D112" s="10" t="str">
        <f>VLOOKUP($A112,Questions!$A$3:$L$333,11,0)&amp;""</f>
        <v/>
      </c>
      <c r="E112" s="10" t="str">
        <f>VLOOKUP($A112,Questions!$A$3:$L$333,12,0)&amp;""</f>
        <v>Product</v>
      </c>
      <c r="F112" s="10" t="str">
        <f>VLOOKUP($A112,'Institution Evaluation'!$A$56:$K$346,3,0)&amp;""</f>
        <v>No</v>
      </c>
      <c r="G112" s="10" t="str">
        <f>VLOOKUP($A112,'Institution Evaluation'!$A$56:$K$346,7,0)&amp;""</f>
        <v>No</v>
      </c>
      <c r="H112" s="10" t="str">
        <f>VLOOKUP($A112,'Institution Evaluation'!$A$56:$K$346,8,0)&amp;""</f>
        <v/>
      </c>
      <c r="I112" s="10" t="str">
        <f>VLOOKUP($A112,'Institution Evaluation'!$A$56:$K$346,9,0)&amp;""</f>
        <v>Critical Importance</v>
      </c>
      <c r="J112" s="10" t="str">
        <f>VLOOKUP($A112,'Institution Evaluation'!$A$56:$K$346,10,0)&amp;""</f>
        <v/>
      </c>
      <c r="K112" s="10">
        <f t="shared" si="19"/>
        <v>20</v>
      </c>
      <c r="L112" s="114">
        <f>IF($E112="Not Scored", "N/A",IF(AND($D112='Auto Responses'!$J$27,$H112=""),"N/A",IF(AND($D112='Auto Responses'!$J$27,$H112='Auto Responses'!$J$7),1,IF(AND($D112='Auto Responses'!$J$27,$H112='Auto Responses'!$J$8),0,IF(OR($F112=$G112,$H112='Auto Responses'!$J$7),1,0)))))</f>
        <v>1</v>
      </c>
      <c r="M112" s="10" t="str">
        <f>VLOOKUP($A112,'Institution Evaluation'!$A$56:$K$346,10,0)&amp;""</f>
        <v/>
      </c>
      <c r="N112" s="10">
        <f t="shared" si="20"/>
        <v>1</v>
      </c>
      <c r="O112" s="114">
        <f t="shared" si="24"/>
        <v>20</v>
      </c>
      <c r="P112" s="114">
        <f t="shared" si="25"/>
        <v>20</v>
      </c>
      <c r="Q112" s="114">
        <f t="shared" si="14"/>
        <v>0</v>
      </c>
      <c r="R112" s="114">
        <f t="shared" si="22"/>
        <v>0</v>
      </c>
      <c r="S112" s="114">
        <f t="shared" si="15"/>
        <v>0</v>
      </c>
      <c r="T112" s="114">
        <f t="shared" si="16"/>
        <v>1</v>
      </c>
      <c r="U112" s="114">
        <f t="shared" si="23"/>
        <v>37</v>
      </c>
      <c r="V112" s="114">
        <f t="shared" si="17"/>
        <v>37</v>
      </c>
    </row>
    <row r="113" spans="1:22" ht="56" x14ac:dyDescent="0.3">
      <c r="A113" s="10" t="str">
        <f>Questions!$A113</f>
        <v>DATA-02</v>
      </c>
      <c r="B113" s="10" t="str">
        <f t="shared" si="18"/>
        <v>DATA</v>
      </c>
      <c r="C113" s="10" t="str">
        <f>VLOOKUP($A113,Questions!$A$3:$L$333,2,0)&amp;""</f>
        <v>Is the transport of sensitive data encrypted using security protocols/algorithms (e.g., system-to-client)?*</v>
      </c>
      <c r="D113" s="10" t="str">
        <f>VLOOKUP($A113,Questions!$A$3:$L$333,11,0)&amp;""</f>
        <v/>
      </c>
      <c r="E113" s="10" t="str">
        <f>VLOOKUP($A113,Questions!$A$3:$L$333,12,0)&amp;""</f>
        <v>Product</v>
      </c>
      <c r="F113" s="10" t="str">
        <f>VLOOKUP($A113,'Institution Evaluation'!$A$56:$K$346,3,0)&amp;""</f>
        <v>Yes</v>
      </c>
      <c r="G113" s="10" t="str">
        <f>VLOOKUP($A113,'Institution Evaluation'!$A$56:$K$346,7,0)&amp;""</f>
        <v>Yes</v>
      </c>
      <c r="H113" s="10" t="str">
        <f>VLOOKUP($A113,'Institution Evaluation'!$A$56:$K$346,8,0)&amp;""</f>
        <v/>
      </c>
      <c r="I113" s="10" t="str">
        <f>VLOOKUP($A113,'Institution Evaluation'!$A$56:$K$346,9,0)&amp;""</f>
        <v>Critical Importance</v>
      </c>
      <c r="J113" s="10" t="str">
        <f>VLOOKUP($A113,'Institution Evaluation'!$A$56:$K$346,10,0)&amp;""</f>
        <v/>
      </c>
      <c r="K113" s="10">
        <f t="shared" si="19"/>
        <v>20</v>
      </c>
      <c r="L113" s="114">
        <f>IF($E113="Not Scored", "N/A",IF(AND($D113='Auto Responses'!$J$27,$H113=""),"N/A",IF(AND($D113='Auto Responses'!$J$27,$H113='Auto Responses'!$J$7),1,IF(AND($D113='Auto Responses'!$J$27,$H113='Auto Responses'!$J$8),0,IF(OR($F113=$G113,$H113='Auto Responses'!$J$7),1,0)))))</f>
        <v>1</v>
      </c>
      <c r="M113" s="10" t="str">
        <f>VLOOKUP($A113,'Institution Evaluation'!$A$56:$K$346,10,0)&amp;""</f>
        <v/>
      </c>
      <c r="N113" s="10">
        <f t="shared" si="20"/>
        <v>1</v>
      </c>
      <c r="O113" s="114">
        <f t="shared" si="24"/>
        <v>20</v>
      </c>
      <c r="P113" s="114">
        <f t="shared" si="25"/>
        <v>20</v>
      </c>
      <c r="Q113" s="114">
        <f t="shared" si="14"/>
        <v>0</v>
      </c>
      <c r="R113" s="114">
        <f t="shared" si="22"/>
        <v>0</v>
      </c>
      <c r="S113" s="114">
        <f t="shared" si="15"/>
        <v>0</v>
      </c>
      <c r="T113" s="114">
        <f t="shared" si="16"/>
        <v>1</v>
      </c>
      <c r="U113" s="114">
        <f t="shared" si="23"/>
        <v>38</v>
      </c>
      <c r="V113" s="114">
        <f t="shared" si="17"/>
        <v>38</v>
      </c>
    </row>
    <row r="114" spans="1:22" ht="56" x14ac:dyDescent="0.3">
      <c r="A114" s="10" t="str">
        <f>Questions!$A114</f>
        <v>DATA-03</v>
      </c>
      <c r="B114" s="10" t="str">
        <f t="shared" si="18"/>
        <v>DATA</v>
      </c>
      <c r="C114" s="10" t="str">
        <f>VLOOKUP($A114,Questions!$A$3:$L$333,2,0)&amp;""</f>
        <v>Is the storage of sensitive data encrypted using security protocols/algorithms (e.g., disk encryption, at-rest, files, and within a running database)?*</v>
      </c>
      <c r="D114" s="10" t="str">
        <f>VLOOKUP($A114,Questions!$A$3:$L$333,11,0)&amp;""</f>
        <v/>
      </c>
      <c r="E114" s="10" t="str">
        <f>VLOOKUP($A114,Questions!$A$3:$L$333,12,0)&amp;""</f>
        <v>Product</v>
      </c>
      <c r="F114" s="10" t="str">
        <f>VLOOKUP($A114,'Institution Evaluation'!$A$56:$K$346,3,0)&amp;""</f>
        <v>Yes</v>
      </c>
      <c r="G114" s="10" t="str">
        <f>VLOOKUP($A114,'Institution Evaluation'!$A$56:$K$346,7,0)&amp;""</f>
        <v>Yes</v>
      </c>
      <c r="H114" s="10" t="str">
        <f>VLOOKUP($A114,'Institution Evaluation'!$A$56:$K$346,8,0)&amp;""</f>
        <v/>
      </c>
      <c r="I114" s="10" t="str">
        <f>VLOOKUP($A114,'Institution Evaluation'!$A$56:$K$346,9,0)&amp;""</f>
        <v>Critical Importance</v>
      </c>
      <c r="J114" s="10" t="str">
        <f>VLOOKUP($A114,'Institution Evaluation'!$A$56:$K$346,10,0)&amp;""</f>
        <v/>
      </c>
      <c r="K114" s="10">
        <f t="shared" si="19"/>
        <v>20</v>
      </c>
      <c r="L114" s="114">
        <f>IF($E114="Not Scored", "N/A",IF(AND($D114='Auto Responses'!$J$27,$H114=""),"N/A",IF(AND($D114='Auto Responses'!$J$27,$H114='Auto Responses'!$J$7),1,IF(AND($D114='Auto Responses'!$J$27,$H114='Auto Responses'!$J$8),0,IF(OR($F114=$G114,$H114='Auto Responses'!$J$7),1,0)))))</f>
        <v>1</v>
      </c>
      <c r="M114" s="10" t="str">
        <f>VLOOKUP($A114,'Institution Evaluation'!$A$56:$K$346,10,0)&amp;""</f>
        <v/>
      </c>
      <c r="N114" s="10">
        <f t="shared" si="20"/>
        <v>1</v>
      </c>
      <c r="O114" s="114">
        <f t="shared" si="24"/>
        <v>20</v>
      </c>
      <c r="P114" s="114">
        <f t="shared" si="25"/>
        <v>20</v>
      </c>
      <c r="Q114" s="114">
        <f t="shared" si="14"/>
        <v>0</v>
      </c>
      <c r="R114" s="114">
        <f t="shared" si="22"/>
        <v>0</v>
      </c>
      <c r="S114" s="114">
        <f t="shared" si="15"/>
        <v>0</v>
      </c>
      <c r="T114" s="114">
        <f t="shared" si="16"/>
        <v>1</v>
      </c>
      <c r="U114" s="114">
        <f t="shared" si="23"/>
        <v>39</v>
      </c>
      <c r="V114" s="114">
        <f t="shared" si="17"/>
        <v>39</v>
      </c>
    </row>
    <row r="115" spans="1:22" ht="56" x14ac:dyDescent="0.3">
      <c r="A115" s="10" t="str">
        <f>Questions!$A115</f>
        <v>DATA-04</v>
      </c>
      <c r="B115" s="10" t="str">
        <f t="shared" si="18"/>
        <v>DATA</v>
      </c>
      <c r="C115" s="10" t="str">
        <f>VLOOKUP($A115,Questions!$A$3:$L$333,2,0)&amp;""</f>
        <v>Do all cryptographic modules in use in your solution conform to the Federal Information Processing Standards (FIPS PUB 140-2 or 140-3)?*</v>
      </c>
      <c r="D115" s="10" t="str">
        <f>VLOOKUP($A115,Questions!$A$3:$L$333,11,0)&amp;""</f>
        <v/>
      </c>
      <c r="E115" s="10" t="str">
        <f>VLOOKUP($A115,Questions!$A$3:$L$333,12,0)&amp;""</f>
        <v>Product</v>
      </c>
      <c r="F115" s="10" t="str">
        <f>VLOOKUP($A115,'Institution Evaluation'!$A$56:$K$346,3,0)&amp;""</f>
        <v>No</v>
      </c>
      <c r="G115" s="10" t="str">
        <f>VLOOKUP($A115,'Institution Evaluation'!$A$56:$K$346,7,0)&amp;""</f>
        <v>Yes</v>
      </c>
      <c r="H115" s="10" t="str">
        <f>VLOOKUP($A115,'Institution Evaluation'!$A$56:$K$346,8,0)&amp;""</f>
        <v/>
      </c>
      <c r="I115" s="10" t="str">
        <f>VLOOKUP($A115,'Institution Evaluation'!$A$56:$K$346,9,0)&amp;""</f>
        <v>Critical Importance</v>
      </c>
      <c r="J115" s="10" t="str">
        <f>VLOOKUP($A115,'Institution Evaluation'!$A$56:$K$346,10,0)&amp;""</f>
        <v/>
      </c>
      <c r="K115" s="10">
        <f t="shared" si="19"/>
        <v>20</v>
      </c>
      <c r="L115" s="114">
        <f>IF($E115="Not Scored", "N/A",IF(AND($D115='Auto Responses'!$J$27,$H115=""),"N/A",IF(AND($D115='Auto Responses'!$J$27,$H115='Auto Responses'!$J$7),1,IF(AND($D115='Auto Responses'!$J$27,$H115='Auto Responses'!$J$8),0,IF(OR($F115=$G115,$H115='Auto Responses'!$J$7),1,0)))))</f>
        <v>0</v>
      </c>
      <c r="M115" s="10" t="str">
        <f>VLOOKUP($A115,'Institution Evaluation'!$A$56:$K$346,10,0)&amp;""</f>
        <v/>
      </c>
      <c r="N115" s="10">
        <f t="shared" si="20"/>
        <v>1</v>
      </c>
      <c r="O115" s="114">
        <f t="shared" si="24"/>
        <v>20</v>
      </c>
      <c r="P115" s="114">
        <f t="shared" si="25"/>
        <v>0</v>
      </c>
      <c r="Q115" s="114">
        <f t="shared" si="14"/>
        <v>0</v>
      </c>
      <c r="R115" s="114">
        <f t="shared" si="22"/>
        <v>0</v>
      </c>
      <c r="S115" s="114">
        <f t="shared" si="15"/>
        <v>0</v>
      </c>
      <c r="T115" s="114">
        <f t="shared" si="16"/>
        <v>1</v>
      </c>
      <c r="U115" s="114">
        <f t="shared" si="23"/>
        <v>40</v>
      </c>
      <c r="V115" s="114">
        <f t="shared" si="17"/>
        <v>40</v>
      </c>
    </row>
    <row r="116" spans="1:22" ht="56" x14ac:dyDescent="0.3">
      <c r="A116" s="10" t="str">
        <f>Questions!$A116</f>
        <v>DATA-05</v>
      </c>
      <c r="B116" s="10" t="str">
        <f t="shared" si="18"/>
        <v>DATA</v>
      </c>
      <c r="C116" s="10" t="str">
        <f>VLOOKUP($A116,Questions!$A$3:$L$333,2,0)&amp;""</f>
        <v>Will the institution's data be available within the system for a period of time at the completion of this contract?*</v>
      </c>
      <c r="D116" s="10" t="str">
        <f>VLOOKUP($A116,Questions!$A$3:$L$333,11,0)&amp;""</f>
        <v/>
      </c>
      <c r="E116" s="10" t="str">
        <f>VLOOKUP($A116,Questions!$A$3:$L$333,12,0)&amp;""</f>
        <v>Product</v>
      </c>
      <c r="F116" s="10" t="str">
        <f>VLOOKUP($A116,'Institution Evaluation'!$A$56:$K$346,3,0)&amp;""</f>
        <v>Yes</v>
      </c>
      <c r="G116" s="10" t="str">
        <f>VLOOKUP($A116,'Institution Evaluation'!$A$56:$K$346,7,0)&amp;""</f>
        <v>Yes</v>
      </c>
      <c r="H116" s="10" t="str">
        <f>VLOOKUP($A116,'Institution Evaluation'!$A$56:$K$346,8,0)&amp;""</f>
        <v/>
      </c>
      <c r="I116" s="10" t="str">
        <f>VLOOKUP($A116,'Institution Evaluation'!$A$56:$K$346,9,0)&amp;""</f>
        <v>Critical Importance</v>
      </c>
      <c r="J116" s="10" t="str">
        <f>VLOOKUP($A116,'Institution Evaluation'!$A$56:$K$346,10,0)&amp;""</f>
        <v/>
      </c>
      <c r="K116" s="10">
        <f t="shared" si="19"/>
        <v>20</v>
      </c>
      <c r="L116" s="114">
        <f>IF($E116="Not Scored", "N/A",IF(AND($D116='Auto Responses'!$J$27,$H116=""),"N/A",IF(AND($D116='Auto Responses'!$J$27,$H116='Auto Responses'!$J$7),1,IF(AND($D116='Auto Responses'!$J$27,$H116='Auto Responses'!$J$8),0,IF(OR($F116=$G116,$H116='Auto Responses'!$J$7),1,0)))))</f>
        <v>1</v>
      </c>
      <c r="M116" s="10" t="str">
        <f>VLOOKUP($A116,'Institution Evaluation'!$A$56:$K$346,10,0)&amp;""</f>
        <v/>
      </c>
      <c r="N116" s="10">
        <f t="shared" si="20"/>
        <v>1</v>
      </c>
      <c r="O116" s="114">
        <f t="shared" si="24"/>
        <v>20</v>
      </c>
      <c r="P116" s="114">
        <f t="shared" si="25"/>
        <v>20</v>
      </c>
      <c r="Q116" s="114">
        <f t="shared" si="14"/>
        <v>0</v>
      </c>
      <c r="R116" s="114">
        <f t="shared" si="22"/>
        <v>0</v>
      </c>
      <c r="S116" s="114">
        <f t="shared" si="15"/>
        <v>0</v>
      </c>
      <c r="T116" s="114">
        <f t="shared" si="16"/>
        <v>1</v>
      </c>
      <c r="U116" s="114">
        <f t="shared" si="23"/>
        <v>41</v>
      </c>
      <c r="V116" s="114">
        <f t="shared" si="17"/>
        <v>41</v>
      </c>
    </row>
    <row r="117" spans="1:22" ht="56" x14ac:dyDescent="0.3">
      <c r="A117" s="10" t="str">
        <f>Questions!$A117</f>
        <v>DATA-06</v>
      </c>
      <c r="B117" s="10" t="str">
        <f t="shared" si="18"/>
        <v>DATA</v>
      </c>
      <c r="C117" s="10" t="str">
        <f>VLOOKUP($A117,Questions!$A$3:$L$333,2,0)&amp;""</f>
        <v>Are these rights retained even through a provider acquisition or bankruptcy event?*</v>
      </c>
      <c r="D117" s="10" t="str">
        <f>VLOOKUP($A117,Questions!$A$3:$L$333,11,0)&amp;""</f>
        <v/>
      </c>
      <c r="E117" s="10" t="str">
        <f>VLOOKUP($A117,Questions!$A$3:$L$333,12,0)&amp;""</f>
        <v>Product</v>
      </c>
      <c r="F117" s="10" t="str">
        <f>VLOOKUP($A117,'Institution Evaluation'!$A$56:$K$346,3,0)&amp;""</f>
        <v>Yes</v>
      </c>
      <c r="G117" s="10" t="str">
        <f>VLOOKUP($A117,'Institution Evaluation'!$A$56:$K$346,7,0)&amp;""</f>
        <v>Yes</v>
      </c>
      <c r="H117" s="10" t="str">
        <f>VLOOKUP($A117,'Institution Evaluation'!$A$56:$K$346,8,0)&amp;""</f>
        <v/>
      </c>
      <c r="I117" s="10" t="str">
        <f>VLOOKUP($A117,'Institution Evaluation'!$A$56:$K$346,9,0)&amp;""</f>
        <v>Critical Importance</v>
      </c>
      <c r="J117" s="10" t="str">
        <f>VLOOKUP($A117,'Institution Evaluation'!$A$56:$K$346,10,0)&amp;""</f>
        <v/>
      </c>
      <c r="K117" s="10">
        <f t="shared" si="19"/>
        <v>20</v>
      </c>
      <c r="L117" s="114">
        <f>IF($E117="Not Scored", "N/A",IF(AND($D117='Auto Responses'!$J$27,$H117=""),"N/A",IF(AND($D117='Auto Responses'!$J$27,$H117='Auto Responses'!$J$7),1,IF(AND($D117='Auto Responses'!$J$27,$H117='Auto Responses'!$J$8),0,IF(OR($F117=$G117,$H117='Auto Responses'!$J$7),1,0)))))</f>
        <v>1</v>
      </c>
      <c r="M117" s="10" t="str">
        <f>VLOOKUP($A117,'Institution Evaluation'!$A$56:$K$346,10,0)&amp;""</f>
        <v/>
      </c>
      <c r="N117" s="10">
        <f t="shared" si="20"/>
        <v>1</v>
      </c>
      <c r="O117" s="114">
        <f t="shared" si="24"/>
        <v>20</v>
      </c>
      <c r="P117" s="114">
        <f t="shared" si="25"/>
        <v>20</v>
      </c>
      <c r="Q117" s="114">
        <f t="shared" si="14"/>
        <v>0</v>
      </c>
      <c r="R117" s="114">
        <f t="shared" si="22"/>
        <v>0</v>
      </c>
      <c r="S117" s="114">
        <f t="shared" si="15"/>
        <v>0</v>
      </c>
      <c r="T117" s="114">
        <f t="shared" si="16"/>
        <v>1</v>
      </c>
      <c r="U117" s="114">
        <f t="shared" si="23"/>
        <v>42</v>
      </c>
      <c r="V117" s="114">
        <f t="shared" si="17"/>
        <v>42</v>
      </c>
    </row>
    <row r="118" spans="1:22" ht="56" x14ac:dyDescent="0.3">
      <c r="A118" s="10" t="str">
        <f>Questions!$A118</f>
        <v>DATA-07</v>
      </c>
      <c r="B118" s="10" t="str">
        <f t="shared" si="18"/>
        <v>DATA</v>
      </c>
      <c r="C118" s="10" t="str">
        <f>VLOOKUP($A118,Questions!$A$3:$L$333,2,0)&amp;""</f>
        <v>Do backups containing the institution's data ever leave the institution's data zone either physically or via network routing?*</v>
      </c>
      <c r="D118" s="10" t="str">
        <f>VLOOKUP($A118,Questions!$A$3:$L$333,11,0)&amp;""</f>
        <v/>
      </c>
      <c r="E118" s="10" t="str">
        <f>VLOOKUP($A118,Questions!$A$3:$L$333,12,0)&amp;""</f>
        <v>Product</v>
      </c>
      <c r="F118" s="10" t="str">
        <f>VLOOKUP($A118,'Institution Evaluation'!$A$56:$K$346,3,0)&amp;""</f>
        <v>No</v>
      </c>
      <c r="G118" s="10" t="str">
        <f>VLOOKUP($A118,'Institution Evaluation'!$A$56:$K$346,7,0)&amp;""</f>
        <v>No</v>
      </c>
      <c r="H118" s="10" t="str">
        <f>VLOOKUP($A118,'Institution Evaluation'!$A$56:$K$346,8,0)&amp;""</f>
        <v/>
      </c>
      <c r="I118" s="10" t="str">
        <f>VLOOKUP($A118,'Institution Evaluation'!$A$56:$K$346,9,0)&amp;""</f>
        <v>Critical Importance</v>
      </c>
      <c r="J118" s="10" t="str">
        <f>VLOOKUP($A118,'Institution Evaluation'!$A$56:$K$346,10,0)&amp;""</f>
        <v/>
      </c>
      <c r="K118" s="10">
        <f t="shared" si="19"/>
        <v>20</v>
      </c>
      <c r="L118" s="114">
        <f>IF($E118="Not Scored", "N/A",IF(AND($D118='Auto Responses'!$J$27,$H118=""),"N/A",IF(AND($D118='Auto Responses'!$J$27,$H118='Auto Responses'!$J$7),1,IF(AND($D118='Auto Responses'!$J$27,$H118='Auto Responses'!$J$8),0,IF(OR($F118=$G118,$H118='Auto Responses'!$J$7),1,0)))))</f>
        <v>1</v>
      </c>
      <c r="M118" s="10" t="str">
        <f>VLOOKUP($A118,'Institution Evaluation'!$A$56:$K$346,10,0)&amp;""</f>
        <v/>
      </c>
      <c r="N118" s="10">
        <f t="shared" si="20"/>
        <v>1</v>
      </c>
      <c r="O118" s="114">
        <f t="shared" si="24"/>
        <v>20</v>
      </c>
      <c r="P118" s="114">
        <f t="shared" si="25"/>
        <v>20</v>
      </c>
      <c r="Q118" s="114">
        <f t="shared" si="14"/>
        <v>0</v>
      </c>
      <c r="R118" s="114">
        <f t="shared" si="22"/>
        <v>0</v>
      </c>
      <c r="S118" s="114">
        <f t="shared" si="15"/>
        <v>0</v>
      </c>
      <c r="T118" s="114">
        <f t="shared" si="16"/>
        <v>1</v>
      </c>
      <c r="U118" s="114">
        <f t="shared" si="23"/>
        <v>43</v>
      </c>
      <c r="V118" s="114">
        <f t="shared" si="17"/>
        <v>43</v>
      </c>
    </row>
    <row r="119" spans="1:22" ht="56" x14ac:dyDescent="0.3">
      <c r="A119" s="10" t="str">
        <f>Questions!$A119</f>
        <v>DATA-08</v>
      </c>
      <c r="B119" s="10" t="str">
        <f t="shared" si="18"/>
        <v>DATA</v>
      </c>
      <c r="C119" s="10" t="str">
        <f>VLOOKUP($A119,Questions!$A$3:$L$333,2,0)&amp;""</f>
        <v>Is media used for long-term retention of business data and archival purposes stored in a secure, environmentally protected area?*</v>
      </c>
      <c r="D119" s="10" t="str">
        <f>VLOOKUP($A119,Questions!$A$3:$L$333,11,0)&amp;""</f>
        <v/>
      </c>
      <c r="E119" s="10" t="str">
        <f>VLOOKUP($A119,Questions!$A$3:$L$333,12,0)&amp;""</f>
        <v>Product</v>
      </c>
      <c r="F119" s="10" t="str">
        <f>VLOOKUP($A119,'Institution Evaluation'!$A$56:$K$346,3,0)&amp;""</f>
        <v>Yes</v>
      </c>
      <c r="G119" s="10" t="str">
        <f>VLOOKUP($A119,'Institution Evaluation'!$A$56:$K$346,7,0)&amp;""</f>
        <v>Yes</v>
      </c>
      <c r="H119" s="10" t="str">
        <f>VLOOKUP($A119,'Institution Evaluation'!$A$56:$K$346,8,0)&amp;""</f>
        <v/>
      </c>
      <c r="I119" s="10" t="str">
        <f>VLOOKUP($A119,'Institution Evaluation'!$A$56:$K$346,9,0)&amp;""</f>
        <v>Critical Importance</v>
      </c>
      <c r="J119" s="10" t="str">
        <f>VLOOKUP($A119,'Institution Evaluation'!$A$56:$K$346,10,0)&amp;""</f>
        <v/>
      </c>
      <c r="K119" s="10">
        <f t="shared" si="19"/>
        <v>20</v>
      </c>
      <c r="L119" s="114">
        <f>IF($E119="Not Scored", "N/A",IF(AND($D119='Auto Responses'!$J$27,$H119=""),"N/A",IF(AND($D119='Auto Responses'!$J$27,$H119='Auto Responses'!$J$7),1,IF(AND($D119='Auto Responses'!$J$27,$H119='Auto Responses'!$J$8),0,IF(OR($F119=$G119,$H119='Auto Responses'!$J$7),1,0)))))</f>
        <v>1</v>
      </c>
      <c r="M119" s="10" t="str">
        <f>VLOOKUP($A119,'Institution Evaluation'!$A$56:$K$346,10,0)&amp;""</f>
        <v/>
      </c>
      <c r="N119" s="10">
        <f t="shared" si="20"/>
        <v>1</v>
      </c>
      <c r="O119" s="114">
        <f t="shared" si="24"/>
        <v>20</v>
      </c>
      <c r="P119" s="114">
        <f t="shared" si="25"/>
        <v>20</v>
      </c>
      <c r="Q119" s="114">
        <f t="shared" si="14"/>
        <v>0</v>
      </c>
      <c r="R119" s="114">
        <f t="shared" si="22"/>
        <v>0</v>
      </c>
      <c r="S119" s="114">
        <f t="shared" si="15"/>
        <v>0</v>
      </c>
      <c r="T119" s="114">
        <f t="shared" si="16"/>
        <v>1</v>
      </c>
      <c r="U119" s="114">
        <f t="shared" si="23"/>
        <v>44</v>
      </c>
      <c r="V119" s="114">
        <f t="shared" si="17"/>
        <v>44</v>
      </c>
    </row>
    <row r="120" spans="1:22" ht="56" x14ac:dyDescent="0.3">
      <c r="A120" s="10" t="str">
        <f>Questions!$A120</f>
        <v>DATA-09</v>
      </c>
      <c r="B120" s="10" t="str">
        <f t="shared" si="18"/>
        <v>DATA</v>
      </c>
      <c r="C120" s="10" t="str">
        <f>VLOOKUP($A120,Questions!$A$3:$L$333,2,0)&amp;""</f>
        <v>At the completion of this contract, will data be returned to the institution and/or deleted from all your systems and archives?</v>
      </c>
      <c r="D120" s="10" t="str">
        <f>VLOOKUP($A120,Questions!$A$3:$L$333,11,0)&amp;""</f>
        <v/>
      </c>
      <c r="E120" s="10" t="str">
        <f>VLOOKUP($A120,Questions!$A$3:$L$333,12,0)&amp;""</f>
        <v>Product</v>
      </c>
      <c r="F120" s="10" t="str">
        <f>VLOOKUP($A120,'Institution Evaluation'!$A$56:$K$346,3,0)&amp;""</f>
        <v>Yes</v>
      </c>
      <c r="G120" s="10" t="str">
        <f>VLOOKUP($A120,'Institution Evaluation'!$A$56:$K$346,7,0)&amp;""</f>
        <v>Yes</v>
      </c>
      <c r="H120" s="10" t="str">
        <f>VLOOKUP($A120,'Institution Evaluation'!$A$56:$K$346,8,0)&amp;""</f>
        <v/>
      </c>
      <c r="I120" s="10" t="str">
        <f>VLOOKUP($A120,'Institution Evaluation'!$A$56:$K$346,9,0)&amp;""</f>
        <v>Standard Importance</v>
      </c>
      <c r="J120" s="10" t="str">
        <f>VLOOKUP($A120,'Institution Evaluation'!$A$56:$K$346,10,0)&amp;""</f>
        <v/>
      </c>
      <c r="K120" s="10">
        <f t="shared" si="19"/>
        <v>10</v>
      </c>
      <c r="L120" s="114">
        <f>IF($E120="Not Scored", "N/A",IF(AND($D120='Auto Responses'!$J$27,$H120=""),"N/A",IF(AND($D120='Auto Responses'!$J$27,$H120='Auto Responses'!$J$7),1,IF(AND($D120='Auto Responses'!$J$27,$H120='Auto Responses'!$J$8),0,IF(OR($F120=$G120,$H120='Auto Responses'!$J$7),1,0)))))</f>
        <v>1</v>
      </c>
      <c r="M120" s="10" t="str">
        <f>VLOOKUP($A120,'Institution Evaluation'!$A$56:$K$346,10,0)&amp;""</f>
        <v/>
      </c>
      <c r="N120" s="10">
        <f t="shared" si="20"/>
        <v>0</v>
      </c>
      <c r="O120" s="114">
        <f t="shared" si="24"/>
        <v>10</v>
      </c>
      <c r="P120" s="114">
        <f t="shared" si="25"/>
        <v>10</v>
      </c>
      <c r="Q120" s="114">
        <f t="shared" si="14"/>
        <v>0</v>
      </c>
      <c r="R120" s="114">
        <f t="shared" si="22"/>
        <v>0</v>
      </c>
      <c r="S120" s="114">
        <f t="shared" si="15"/>
        <v>0</v>
      </c>
      <c r="T120" s="114">
        <f t="shared" si="16"/>
        <v>0</v>
      </c>
      <c r="U120" s="114">
        <f t="shared" si="23"/>
        <v>44</v>
      </c>
      <c r="V120" s="114">
        <f t="shared" si="17"/>
        <v>0</v>
      </c>
    </row>
    <row r="121" spans="1:22" ht="56" x14ac:dyDescent="0.3">
      <c r="A121" s="10" t="str">
        <f>Questions!$A121</f>
        <v>DATA-10</v>
      </c>
      <c r="B121" s="10" t="str">
        <f t="shared" si="18"/>
        <v>DATA</v>
      </c>
      <c r="C121" s="10" t="str">
        <f>VLOOKUP($A121,Questions!$A$3:$L$333,2,0)&amp;""</f>
        <v>Can the institution extract a full or partial backup of data?</v>
      </c>
      <c r="D121" s="10" t="str">
        <f>VLOOKUP($A121,Questions!$A$3:$L$333,11,0)&amp;""</f>
        <v/>
      </c>
      <c r="E121" s="10" t="str">
        <f>VLOOKUP($A121,Questions!$A$3:$L$333,12,0)&amp;""</f>
        <v>Product</v>
      </c>
      <c r="F121" s="10" t="str">
        <f>VLOOKUP($A121,'Institution Evaluation'!$A$56:$K$346,3,0)&amp;""</f>
        <v>Yes</v>
      </c>
      <c r="G121" s="10" t="str">
        <f>VLOOKUP($A121,'Institution Evaluation'!$A$56:$K$346,7,0)&amp;""</f>
        <v>Yes</v>
      </c>
      <c r="H121" s="10" t="str">
        <f>VLOOKUP($A121,'Institution Evaluation'!$A$56:$K$346,8,0)&amp;""</f>
        <v/>
      </c>
      <c r="I121" s="10" t="str">
        <f>VLOOKUP($A121,'Institution Evaluation'!$A$56:$K$346,9,0)&amp;""</f>
        <v>Standard Importance</v>
      </c>
      <c r="J121" s="10" t="str">
        <f>VLOOKUP($A121,'Institution Evaluation'!$A$56:$K$346,10,0)&amp;""</f>
        <v/>
      </c>
      <c r="K121" s="10">
        <f t="shared" si="19"/>
        <v>10</v>
      </c>
      <c r="L121" s="114">
        <f>IF($E121="Not Scored", "N/A",IF(AND($D121='Auto Responses'!$J$27,$H121=""),"N/A",IF(AND($D121='Auto Responses'!$J$27,$H121='Auto Responses'!$J$7),1,IF(AND($D121='Auto Responses'!$J$27,$H121='Auto Responses'!$J$8),0,IF(OR($F121=$G121,$H121='Auto Responses'!$J$7),1,0)))))</f>
        <v>1</v>
      </c>
      <c r="M121" s="10" t="str">
        <f>VLOOKUP($A121,'Institution Evaluation'!$A$56:$K$346,10,0)&amp;""</f>
        <v/>
      </c>
      <c r="N121" s="10">
        <f t="shared" si="20"/>
        <v>0</v>
      </c>
      <c r="O121" s="114">
        <f t="shared" si="24"/>
        <v>10</v>
      </c>
      <c r="P121" s="114">
        <f t="shared" si="25"/>
        <v>10</v>
      </c>
      <c r="Q121" s="114">
        <f t="shared" si="14"/>
        <v>0</v>
      </c>
      <c r="R121" s="114">
        <f t="shared" si="22"/>
        <v>0</v>
      </c>
      <c r="S121" s="114">
        <f t="shared" si="15"/>
        <v>0</v>
      </c>
      <c r="T121" s="114">
        <f t="shared" si="16"/>
        <v>0</v>
      </c>
      <c r="U121" s="114">
        <f t="shared" si="23"/>
        <v>44</v>
      </c>
      <c r="V121" s="114">
        <f t="shared" si="17"/>
        <v>0</v>
      </c>
    </row>
    <row r="122" spans="1:22" ht="56" x14ac:dyDescent="0.3">
      <c r="A122" s="10" t="str">
        <f>Questions!$A122</f>
        <v>DATA-11</v>
      </c>
      <c r="B122" s="10" t="str">
        <f t="shared" si="18"/>
        <v>DATA</v>
      </c>
      <c r="C122" s="10" t="str">
        <f>VLOOKUP($A122,Questions!$A$3:$L$333,2,0)&amp;""</f>
        <v>Do current backups include all operating system software, utilities, security software, application software, and data files necessary for recovery?</v>
      </c>
      <c r="D122" s="10" t="str">
        <f>VLOOKUP($A122,Questions!$A$3:$L$333,11,0)&amp;""</f>
        <v/>
      </c>
      <c r="E122" s="10" t="str">
        <f>VLOOKUP($A122,Questions!$A$3:$L$333,12,0)&amp;""</f>
        <v>Product</v>
      </c>
      <c r="F122" s="10" t="str">
        <f>VLOOKUP($A122,'Institution Evaluation'!$A$56:$K$346,3,0)&amp;""</f>
        <v>Yes</v>
      </c>
      <c r="G122" s="10" t="str">
        <f>VLOOKUP($A122,'Institution Evaluation'!$A$56:$K$346,7,0)&amp;""</f>
        <v>Yes</v>
      </c>
      <c r="H122" s="10" t="str">
        <f>VLOOKUP($A122,'Institution Evaluation'!$A$56:$K$346,8,0)&amp;""</f>
        <v/>
      </c>
      <c r="I122" s="10" t="str">
        <f>VLOOKUP($A122,'Institution Evaluation'!$A$56:$K$346,9,0)&amp;""</f>
        <v>Standard Importance</v>
      </c>
      <c r="J122" s="10" t="str">
        <f>VLOOKUP($A122,'Institution Evaluation'!$A$56:$K$346,10,0)&amp;""</f>
        <v/>
      </c>
      <c r="K122" s="10">
        <f t="shared" si="19"/>
        <v>10</v>
      </c>
      <c r="L122" s="114">
        <f>IF($E122="Not Scored", "N/A",IF(AND($D122='Auto Responses'!$J$27,$H122=""),"N/A",IF(AND($D122='Auto Responses'!$J$27,$H122='Auto Responses'!$J$7),1,IF(AND($D122='Auto Responses'!$J$27,$H122='Auto Responses'!$J$8),0,IF(OR($F122=$G122,$H122='Auto Responses'!$J$7),1,0)))))</f>
        <v>1</v>
      </c>
      <c r="M122" s="10" t="str">
        <f>VLOOKUP($A122,'Institution Evaluation'!$A$56:$K$346,10,0)&amp;""</f>
        <v/>
      </c>
      <c r="N122" s="10">
        <f t="shared" si="20"/>
        <v>0</v>
      </c>
      <c r="O122" s="114">
        <f t="shared" si="24"/>
        <v>10</v>
      </c>
      <c r="P122" s="114">
        <f t="shared" si="25"/>
        <v>10</v>
      </c>
      <c r="Q122" s="114">
        <f t="shared" si="14"/>
        <v>0</v>
      </c>
      <c r="R122" s="114">
        <f t="shared" si="22"/>
        <v>0</v>
      </c>
      <c r="S122" s="114">
        <f t="shared" si="15"/>
        <v>0</v>
      </c>
      <c r="T122" s="114">
        <f t="shared" si="16"/>
        <v>0</v>
      </c>
      <c r="U122" s="114">
        <f t="shared" si="23"/>
        <v>44</v>
      </c>
      <c r="V122" s="114">
        <f t="shared" si="17"/>
        <v>0</v>
      </c>
    </row>
    <row r="123" spans="1:22" ht="56" x14ac:dyDescent="0.3">
      <c r="A123" s="10" t="str">
        <f>Questions!$A123</f>
        <v>DATA-12</v>
      </c>
      <c r="B123" s="10" t="str">
        <f t="shared" si="18"/>
        <v>DATA</v>
      </c>
      <c r="C123" s="10" t="str">
        <f>VLOOKUP($A123,Questions!$A$3:$L$333,2,0)&amp;""</f>
        <v>Are you performing off-site backups (i.e., digitally moved off site)?</v>
      </c>
      <c r="D123" s="10" t="str">
        <f>VLOOKUP($A123,Questions!$A$3:$L$333,11,0)&amp;""</f>
        <v/>
      </c>
      <c r="E123" s="10" t="str">
        <f>VLOOKUP($A123,Questions!$A$3:$L$333,12,0)&amp;""</f>
        <v>Product</v>
      </c>
      <c r="F123" s="10" t="str">
        <f>VLOOKUP($A123,'Institution Evaluation'!$A$56:$K$346,3,0)&amp;""</f>
        <v>Yes</v>
      </c>
      <c r="G123" s="10" t="str">
        <f>VLOOKUP($A123,'Institution Evaluation'!$A$56:$K$346,7,0)&amp;""</f>
        <v>Yes</v>
      </c>
      <c r="H123" s="10" t="str">
        <f>VLOOKUP($A123,'Institution Evaluation'!$A$56:$K$346,8,0)&amp;""</f>
        <v/>
      </c>
      <c r="I123" s="10" t="str">
        <f>VLOOKUP($A123,'Institution Evaluation'!$A$56:$K$346,9,0)&amp;""</f>
        <v>Standard Importance</v>
      </c>
      <c r="J123" s="10" t="str">
        <f>VLOOKUP($A123,'Institution Evaluation'!$A$56:$K$346,10,0)&amp;""</f>
        <v/>
      </c>
      <c r="K123" s="10">
        <f t="shared" si="19"/>
        <v>10</v>
      </c>
      <c r="L123" s="114">
        <f>IF($E123="Not Scored", "N/A",IF(AND($D123='Auto Responses'!$J$27,$H123=""),"N/A",IF(AND($D123='Auto Responses'!$J$27,$H123='Auto Responses'!$J$7),1,IF(AND($D123='Auto Responses'!$J$27,$H123='Auto Responses'!$J$8),0,IF(OR($F123=$G123,$H123='Auto Responses'!$J$7),1,0)))))</f>
        <v>1</v>
      </c>
      <c r="M123" s="10" t="str">
        <f>VLOOKUP($A123,'Institution Evaluation'!$A$56:$K$346,10,0)&amp;""</f>
        <v/>
      </c>
      <c r="N123" s="10">
        <f t="shared" si="20"/>
        <v>0</v>
      </c>
      <c r="O123" s="114">
        <f t="shared" si="24"/>
        <v>10</v>
      </c>
      <c r="P123" s="114">
        <f t="shared" si="25"/>
        <v>10</v>
      </c>
      <c r="Q123" s="114">
        <f t="shared" si="14"/>
        <v>0</v>
      </c>
      <c r="R123" s="114">
        <f t="shared" si="22"/>
        <v>0</v>
      </c>
      <c r="S123" s="114">
        <f t="shared" si="15"/>
        <v>0</v>
      </c>
      <c r="T123" s="114">
        <f t="shared" si="16"/>
        <v>0</v>
      </c>
      <c r="U123" s="114">
        <f t="shared" si="23"/>
        <v>44</v>
      </c>
      <c r="V123" s="114">
        <f t="shared" si="17"/>
        <v>0</v>
      </c>
    </row>
    <row r="124" spans="1:22" ht="56" x14ac:dyDescent="0.3">
      <c r="A124" s="10" t="str">
        <f>Questions!$A124</f>
        <v>DATA-13</v>
      </c>
      <c r="B124" s="10" t="str">
        <f t="shared" si="18"/>
        <v>DATA</v>
      </c>
      <c r="C124" s="10" t="str">
        <f>VLOOKUP($A124,Questions!$A$3:$L$333,2,0)&amp;""</f>
        <v>Are physical backups taken off-site (i.e., physically moved off site)?</v>
      </c>
      <c r="D124" s="10" t="str">
        <f>VLOOKUP($A124,Questions!$A$3:$L$333,11,0)&amp;""</f>
        <v/>
      </c>
      <c r="E124" s="10" t="str">
        <f>VLOOKUP($A124,Questions!$A$3:$L$333,12,0)&amp;""</f>
        <v>Product</v>
      </c>
      <c r="F124" s="10" t="str">
        <f>VLOOKUP($A124,'Institution Evaluation'!$A$56:$K$346,3,0)&amp;""</f>
        <v>Yes</v>
      </c>
      <c r="G124" s="10" t="str">
        <f>VLOOKUP($A124,'Institution Evaluation'!$A$56:$K$346,7,0)&amp;""</f>
        <v>Yes</v>
      </c>
      <c r="H124" s="10" t="str">
        <f>VLOOKUP($A124,'Institution Evaluation'!$A$56:$K$346,8,0)&amp;""</f>
        <v/>
      </c>
      <c r="I124" s="10" t="str">
        <f>VLOOKUP($A124,'Institution Evaluation'!$A$56:$K$346,9,0)&amp;""</f>
        <v>Standard Importance</v>
      </c>
      <c r="J124" s="10" t="str">
        <f>VLOOKUP($A124,'Institution Evaluation'!$A$56:$K$346,10,0)&amp;""</f>
        <v/>
      </c>
      <c r="K124" s="10">
        <f t="shared" si="19"/>
        <v>10</v>
      </c>
      <c r="L124" s="114">
        <f>IF($E124="Not Scored", "N/A",IF(AND($D124='Auto Responses'!$J$27,$H124=""),"N/A",IF(AND($D124='Auto Responses'!$J$27,$H124='Auto Responses'!$J$7),1,IF(AND($D124='Auto Responses'!$J$27,$H124='Auto Responses'!$J$8),0,IF(OR($F124=$G124,$H124='Auto Responses'!$J$7),1,0)))))</f>
        <v>1</v>
      </c>
      <c r="M124" s="10" t="str">
        <f>VLOOKUP($A124,'Institution Evaluation'!$A$56:$K$346,10,0)&amp;""</f>
        <v/>
      </c>
      <c r="N124" s="10">
        <f t="shared" si="20"/>
        <v>0</v>
      </c>
      <c r="O124" s="114">
        <f t="shared" si="24"/>
        <v>10</v>
      </c>
      <c r="P124" s="114">
        <f t="shared" si="25"/>
        <v>10</v>
      </c>
      <c r="Q124" s="114">
        <f t="shared" si="14"/>
        <v>0</v>
      </c>
      <c r="R124" s="114">
        <f t="shared" si="22"/>
        <v>0</v>
      </c>
      <c r="S124" s="114">
        <f t="shared" si="15"/>
        <v>0</v>
      </c>
      <c r="T124" s="114">
        <f t="shared" si="16"/>
        <v>0</v>
      </c>
      <c r="U124" s="114">
        <f t="shared" si="23"/>
        <v>44</v>
      </c>
      <c r="V124" s="114">
        <f t="shared" si="17"/>
        <v>0</v>
      </c>
    </row>
    <row r="125" spans="1:22" ht="70" x14ac:dyDescent="0.3">
      <c r="A125" s="10" t="str">
        <f>Questions!$A126</f>
        <v>DATA-15</v>
      </c>
      <c r="B125" s="10" t="str">
        <f t="shared" si="18"/>
        <v>DATA</v>
      </c>
      <c r="C125" s="10" t="str">
        <f>VLOOKUP($A125,Questions!$A$3:$L$333,2,0)&amp;""</f>
        <v>Do you have a media handling process that is documented and currently implemented that meets established business needs and regulatory requirements, including end-of-life, repurposing, and data-sanitization procedures?</v>
      </c>
      <c r="D125" s="10" t="str">
        <f>VLOOKUP($A125,Questions!$A$3:$L$333,11,0)&amp;""</f>
        <v/>
      </c>
      <c r="E125" s="10" t="str">
        <f>VLOOKUP($A125,Questions!$A$3:$L$333,12,0)&amp;""</f>
        <v>Product</v>
      </c>
      <c r="F125" s="10" t="str">
        <f>VLOOKUP($A125,'Institution Evaluation'!$A$56:$K$346,3,0)&amp;""</f>
        <v>Yes</v>
      </c>
      <c r="G125" s="10" t="str">
        <f>VLOOKUP($A125,'Institution Evaluation'!$A$56:$K$346,7,0)&amp;""</f>
        <v>Yes</v>
      </c>
      <c r="H125" s="10" t="str">
        <f>VLOOKUP($A125,'Institution Evaluation'!$A$56:$K$346,8,0)&amp;""</f>
        <v/>
      </c>
      <c r="I125" s="10" t="str">
        <f>VLOOKUP($A125,'Institution Evaluation'!$A$56:$K$346,9,0)&amp;""</f>
        <v>Standard Importance</v>
      </c>
      <c r="J125" s="10" t="str">
        <f>VLOOKUP($A125,'Institution Evaluation'!$A$56:$K$346,10,0)&amp;""</f>
        <v/>
      </c>
      <c r="K125" s="10">
        <f t="shared" si="19"/>
        <v>10</v>
      </c>
      <c r="L125" s="114">
        <f>IF($E125="Not Scored", "N/A",IF(AND($D125='Auto Responses'!$J$27,$H125=""),"N/A",IF(AND($D125='Auto Responses'!$J$27,$H125='Auto Responses'!$J$7),1,IF(AND($D125='Auto Responses'!$J$27,$H125='Auto Responses'!$J$8),0,IF(OR($F125=$G125,$H125='Auto Responses'!$J$7),1,0)))))</f>
        <v>1</v>
      </c>
      <c r="M125" s="10" t="str">
        <f>VLOOKUP($A125,'Institution Evaluation'!$A$56:$K$346,10,0)&amp;""</f>
        <v/>
      </c>
      <c r="N125" s="10">
        <f t="shared" si="20"/>
        <v>0</v>
      </c>
      <c r="O125" s="114">
        <f t="shared" si="24"/>
        <v>10</v>
      </c>
      <c r="P125" s="114">
        <f t="shared" si="25"/>
        <v>10</v>
      </c>
      <c r="Q125" s="114">
        <f t="shared" si="14"/>
        <v>0</v>
      </c>
      <c r="R125" s="114">
        <f t="shared" si="22"/>
        <v>0</v>
      </c>
      <c r="S125" s="114">
        <f t="shared" si="15"/>
        <v>0</v>
      </c>
      <c r="T125" s="114">
        <f t="shared" si="16"/>
        <v>0</v>
      </c>
      <c r="U125" s="114">
        <f t="shared" si="23"/>
        <v>44</v>
      </c>
      <c r="V125" s="114">
        <f t="shared" si="17"/>
        <v>0</v>
      </c>
    </row>
    <row r="126" spans="1:22" ht="56" x14ac:dyDescent="0.3">
      <c r="A126" s="10" t="str">
        <f>Questions!$A127</f>
        <v>DATA-16</v>
      </c>
      <c r="B126" s="10" t="str">
        <f t="shared" si="18"/>
        <v>DATA</v>
      </c>
      <c r="C126" s="10" t="str">
        <f>VLOOKUP($A126,Questions!$A$3:$L$333,2,0)&amp;""</f>
        <v>Does the process described in DATA-15 adhere to DoD 5220.22-M and/or NIST SP 800-88 standards?</v>
      </c>
      <c r="D126" s="10" t="str">
        <f>VLOOKUP($A126,Questions!$A$3:$L$333,11,0)&amp;""</f>
        <v/>
      </c>
      <c r="E126" s="10" t="str">
        <f>VLOOKUP($A126,Questions!$A$3:$L$333,12,0)&amp;""</f>
        <v>Product</v>
      </c>
      <c r="F126" s="10" t="str">
        <f>VLOOKUP($A126,'Institution Evaluation'!$A$56:$K$346,3,0)&amp;""</f>
        <v>Yes</v>
      </c>
      <c r="G126" s="10" t="str">
        <f>VLOOKUP($A126,'Institution Evaluation'!$A$56:$K$346,7,0)&amp;""</f>
        <v>Yes</v>
      </c>
      <c r="H126" s="10" t="str">
        <f>VLOOKUP($A126,'Institution Evaluation'!$A$56:$K$346,8,0)&amp;""</f>
        <v/>
      </c>
      <c r="I126" s="10" t="str">
        <f>VLOOKUP($A126,'Institution Evaluation'!$A$56:$K$346,9,0)&amp;""</f>
        <v>Standard Importance</v>
      </c>
      <c r="J126" s="10" t="str">
        <f>VLOOKUP($A126,'Institution Evaluation'!$A$56:$K$346,10,0)&amp;""</f>
        <v/>
      </c>
      <c r="K126" s="10">
        <f t="shared" si="19"/>
        <v>10</v>
      </c>
      <c r="L126" s="114">
        <f>IF($E126="Not Scored", "N/A",IF(AND($D126='Auto Responses'!$J$27,$H126=""),"N/A",IF(AND($D126='Auto Responses'!$J$27,$H126='Auto Responses'!$J$7),1,IF(AND($D126='Auto Responses'!$J$27,$H126='Auto Responses'!$J$8),0,IF(OR($F126=$G126,$H126='Auto Responses'!$J$7),1,0)))))</f>
        <v>1</v>
      </c>
      <c r="M126" s="10" t="str">
        <f>VLOOKUP($A126,'Institution Evaluation'!$A$56:$K$346,10,0)&amp;""</f>
        <v/>
      </c>
      <c r="N126" s="10">
        <f t="shared" si="20"/>
        <v>0</v>
      </c>
      <c r="O126" s="114">
        <f t="shared" si="24"/>
        <v>10</v>
      </c>
      <c r="P126" s="114">
        <f t="shared" si="25"/>
        <v>10</v>
      </c>
      <c r="Q126" s="114">
        <f t="shared" si="14"/>
        <v>0</v>
      </c>
      <c r="R126" s="114">
        <f t="shared" si="22"/>
        <v>0</v>
      </c>
      <c r="S126" s="114">
        <f t="shared" si="15"/>
        <v>0</v>
      </c>
      <c r="T126" s="114">
        <f t="shared" si="16"/>
        <v>0</v>
      </c>
      <c r="U126" s="114">
        <f t="shared" si="23"/>
        <v>44</v>
      </c>
      <c r="V126" s="114">
        <f t="shared" si="17"/>
        <v>0</v>
      </c>
    </row>
    <row r="127" spans="1:22" ht="56" x14ac:dyDescent="0.3">
      <c r="A127" s="10" t="str">
        <f>Questions!$A128</f>
        <v>DATA-17</v>
      </c>
      <c r="B127" s="10" t="str">
        <f t="shared" si="18"/>
        <v>DATA</v>
      </c>
      <c r="C127" s="10" t="str">
        <f>VLOOKUP($A127,Questions!$A$3:$L$333,2,0)&amp;""</f>
        <v>Does your staff (or third party) have access to institutional data (e.g., financial, PHI, or other sensitive information) through any means?</v>
      </c>
      <c r="D127" s="10" t="str">
        <f>VLOOKUP($A127,Questions!$A$3:$L$333,11,0)&amp;""</f>
        <v/>
      </c>
      <c r="E127" s="10" t="str">
        <f>VLOOKUP($A127,Questions!$A$3:$L$333,12,0)&amp;""</f>
        <v>Product</v>
      </c>
      <c r="F127" s="10" t="str">
        <f>VLOOKUP($A127,'Institution Evaluation'!$A$56:$K$346,3,0)&amp;""</f>
        <v>Yes</v>
      </c>
      <c r="G127" s="10" t="str">
        <f>VLOOKUP($A127,'Institution Evaluation'!$A$56:$K$346,7,0)&amp;""</f>
        <v>Yes</v>
      </c>
      <c r="H127" s="10" t="str">
        <f>VLOOKUP($A127,'Institution Evaluation'!$A$56:$K$346,8,0)&amp;""</f>
        <v/>
      </c>
      <c r="I127" s="10" t="str">
        <f>VLOOKUP($A127,'Institution Evaluation'!$A$56:$K$346,9,0)&amp;""</f>
        <v>Standard Importance</v>
      </c>
      <c r="J127" s="10" t="str">
        <f>VLOOKUP($A127,'Institution Evaluation'!$A$56:$K$346,10,0)&amp;""</f>
        <v/>
      </c>
      <c r="K127" s="10">
        <f t="shared" si="19"/>
        <v>10</v>
      </c>
      <c r="L127" s="114">
        <f>IF($E127="Not Scored", "N/A",IF(AND($D127='Auto Responses'!$J$27,$H127=""),"N/A",IF(AND($D127='Auto Responses'!$J$27,$H127='Auto Responses'!$J$7),1,IF(AND($D127='Auto Responses'!$J$27,$H127='Auto Responses'!$J$8),0,IF(OR($F127=$G127,$H127='Auto Responses'!$J$7),1,0)))))</f>
        <v>1</v>
      </c>
      <c r="M127" s="10" t="str">
        <f>VLOOKUP($A127,'Institution Evaluation'!$A$56:$K$346,10,0)&amp;""</f>
        <v/>
      </c>
      <c r="N127" s="10">
        <f t="shared" si="20"/>
        <v>0</v>
      </c>
      <c r="O127" s="114">
        <f t="shared" si="24"/>
        <v>10</v>
      </c>
      <c r="P127" s="114">
        <f t="shared" si="25"/>
        <v>10</v>
      </c>
      <c r="Q127" s="114">
        <f t="shared" si="14"/>
        <v>0</v>
      </c>
      <c r="R127" s="114">
        <f t="shared" si="22"/>
        <v>0</v>
      </c>
      <c r="S127" s="114">
        <f t="shared" si="15"/>
        <v>0</v>
      </c>
      <c r="T127" s="114">
        <f t="shared" si="16"/>
        <v>0</v>
      </c>
      <c r="U127" s="114">
        <f t="shared" si="23"/>
        <v>44</v>
      </c>
      <c r="V127" s="114">
        <f t="shared" si="17"/>
        <v>0</v>
      </c>
    </row>
    <row r="128" spans="1:22" ht="56" x14ac:dyDescent="0.3">
      <c r="A128" s="10" t="str">
        <f>Questions!$A129</f>
        <v>DATA-18</v>
      </c>
      <c r="B128" s="10" t="str">
        <f t="shared" si="18"/>
        <v>DATA</v>
      </c>
      <c r="C128" s="10" t="str">
        <f>VLOOKUP($A128,Questions!$A$3:$L$333,2,0)&amp;""</f>
        <v>Do you have a documented and currently implemented strategy for securing employee workstations when they work remotely (i.e., not in a trusted computing environment)?</v>
      </c>
      <c r="D128" s="10" t="str">
        <f>VLOOKUP($A128,Questions!$A$3:$L$333,11,0)&amp;""</f>
        <v/>
      </c>
      <c r="E128" s="10" t="str">
        <f>VLOOKUP($A128,Questions!$A$3:$L$333,12,0)&amp;""</f>
        <v>Product</v>
      </c>
      <c r="F128" s="10" t="str">
        <f>VLOOKUP($A128,'Institution Evaluation'!$A$56:$K$346,3,0)&amp;""</f>
        <v>Yes</v>
      </c>
      <c r="G128" s="10" t="str">
        <f>VLOOKUP($A128,'Institution Evaluation'!$A$56:$K$346,7,0)&amp;""</f>
        <v>Yes</v>
      </c>
      <c r="H128" s="10" t="str">
        <f>VLOOKUP($A128,'Institution Evaluation'!$A$56:$K$346,8,0)&amp;""</f>
        <v/>
      </c>
      <c r="I128" s="10" t="str">
        <f>VLOOKUP($A128,'Institution Evaluation'!$A$56:$K$346,9,0)&amp;""</f>
        <v>Standard Importance</v>
      </c>
      <c r="J128" s="10" t="str">
        <f>VLOOKUP($A128,'Institution Evaluation'!$A$56:$K$346,10,0)&amp;""</f>
        <v/>
      </c>
      <c r="K128" s="10">
        <f t="shared" si="19"/>
        <v>10</v>
      </c>
      <c r="L128" s="114">
        <f>IF($E128="Not Scored", "N/A",IF(AND($D128='Auto Responses'!$J$27,$H128=""),"N/A",IF(AND($D128='Auto Responses'!$J$27,$H128='Auto Responses'!$J$7),1,IF(AND($D128='Auto Responses'!$J$27,$H128='Auto Responses'!$J$8),0,IF(OR($F128=$G128,$H128='Auto Responses'!$J$7),1,0)))))</f>
        <v>1</v>
      </c>
      <c r="M128" s="10" t="str">
        <f>VLOOKUP($A128,'Institution Evaluation'!$A$56:$K$346,10,0)&amp;""</f>
        <v/>
      </c>
      <c r="N128" s="10">
        <f t="shared" si="20"/>
        <v>0</v>
      </c>
      <c r="O128" s="114">
        <f t="shared" si="24"/>
        <v>10</v>
      </c>
      <c r="P128" s="114">
        <f t="shared" si="25"/>
        <v>10</v>
      </c>
      <c r="Q128" s="114">
        <f t="shared" si="14"/>
        <v>0</v>
      </c>
      <c r="R128" s="114">
        <f t="shared" si="22"/>
        <v>0</v>
      </c>
      <c r="S128" s="114">
        <f t="shared" si="15"/>
        <v>0</v>
      </c>
      <c r="T128" s="114">
        <f t="shared" si="16"/>
        <v>0</v>
      </c>
      <c r="U128" s="114">
        <f t="shared" si="23"/>
        <v>44</v>
      </c>
      <c r="V128" s="114">
        <f t="shared" si="17"/>
        <v>0</v>
      </c>
    </row>
    <row r="129" spans="1:22" ht="70" x14ac:dyDescent="0.3">
      <c r="A129" s="10" t="str">
        <f>Questions!$A130</f>
        <v>DATA-19</v>
      </c>
      <c r="B129" s="10" t="str">
        <f t="shared" si="18"/>
        <v>DATA</v>
      </c>
      <c r="C129" s="10" t="str">
        <f>VLOOKUP($A129,Questions!$A$3:$L$333,2,0)&amp;""</f>
        <v>Does the environment provide for dedicated single-tenant capabilities? If not, describe how your solution or environment separates data from different customers (e.g., logically, physically, single tenancy, multi-tenancy).</v>
      </c>
      <c r="D129" s="10" t="str">
        <f>VLOOKUP($A129,Questions!$A$3:$L$333,11,0)&amp;""</f>
        <v/>
      </c>
      <c r="E129" s="10" t="str">
        <f>VLOOKUP($A129,Questions!$A$3:$L$333,12,0)&amp;""</f>
        <v>Product</v>
      </c>
      <c r="F129" s="10" t="str">
        <f>VLOOKUP($A129,'Institution Evaluation'!$A$56:$K$346,3,0)&amp;""</f>
        <v>No</v>
      </c>
      <c r="G129" s="10" t="str">
        <f>VLOOKUP($A129,'Institution Evaluation'!$A$56:$K$346,7,0)&amp;""</f>
        <v>Yes</v>
      </c>
      <c r="H129" s="10" t="str">
        <f>VLOOKUP($A129,'Institution Evaluation'!$A$56:$K$346,8,0)&amp;""</f>
        <v/>
      </c>
      <c r="I129" s="10" t="str">
        <f>VLOOKUP($A129,'Institution Evaluation'!$A$56:$K$346,9,0)&amp;""</f>
        <v>Minor Importance</v>
      </c>
      <c r="J129" s="10" t="str">
        <f>VLOOKUP($A129,'Institution Evaluation'!$A$56:$K$346,10,0)&amp;""</f>
        <v/>
      </c>
      <c r="K129" s="10">
        <f t="shared" si="19"/>
        <v>5</v>
      </c>
      <c r="L129" s="114">
        <f>IF($E129="Not Scored", "N/A",IF(AND($D129='Auto Responses'!$J$27,$H129=""),"N/A",IF(AND($D129='Auto Responses'!$J$27,$H129='Auto Responses'!$J$7),1,IF(AND($D129='Auto Responses'!$J$27,$H129='Auto Responses'!$J$8),0,IF(OR($F129=$G129,$H129='Auto Responses'!$J$7),1,0)))))</f>
        <v>0</v>
      </c>
      <c r="M129" s="10" t="str">
        <f>VLOOKUP($A129,'Institution Evaluation'!$A$56:$K$346,10,0)&amp;""</f>
        <v/>
      </c>
      <c r="N129" s="10">
        <f t="shared" si="20"/>
        <v>0</v>
      </c>
      <c r="O129" s="114">
        <f t="shared" si="24"/>
        <v>5</v>
      </c>
      <c r="P129" s="114">
        <f t="shared" si="25"/>
        <v>0</v>
      </c>
      <c r="Q129" s="114">
        <f t="shared" si="14"/>
        <v>0</v>
      </c>
      <c r="R129" s="114">
        <f t="shared" si="22"/>
        <v>0</v>
      </c>
      <c r="S129" s="114">
        <f t="shared" si="15"/>
        <v>0</v>
      </c>
      <c r="T129" s="114">
        <f t="shared" si="16"/>
        <v>0</v>
      </c>
      <c r="U129" s="114">
        <f t="shared" si="23"/>
        <v>44</v>
      </c>
      <c r="V129" s="114">
        <f t="shared" si="17"/>
        <v>0</v>
      </c>
    </row>
    <row r="130" spans="1:22" ht="56" x14ac:dyDescent="0.3">
      <c r="A130" s="10" t="str">
        <f>Questions!$A131</f>
        <v>DATA-20</v>
      </c>
      <c r="B130" s="10" t="str">
        <f t="shared" si="18"/>
        <v>DATA</v>
      </c>
      <c r="C130" s="10" t="str">
        <f>VLOOKUP($A130,Questions!$A$3:$L$333,2,0)&amp;""</f>
        <v>Are ownership rights to all data, inputs, outputs, and metadata retained by the institution?</v>
      </c>
      <c r="D130" s="10" t="str">
        <f>VLOOKUP($A130,Questions!$A$3:$L$333,11,0)&amp;""</f>
        <v/>
      </c>
      <c r="E130" s="10" t="str">
        <f>VLOOKUP($A130,Questions!$A$3:$L$333,12,0)&amp;""</f>
        <v>Product</v>
      </c>
      <c r="F130" s="10" t="str">
        <f>VLOOKUP($A130,'Institution Evaluation'!$A$56:$K$346,3,0)&amp;""</f>
        <v>Yes</v>
      </c>
      <c r="G130" s="10" t="str">
        <f>VLOOKUP($A130,'Institution Evaluation'!$A$56:$K$346,7,0)&amp;""</f>
        <v>Yes</v>
      </c>
      <c r="H130" s="10" t="str">
        <f>VLOOKUP($A130,'Institution Evaluation'!$A$56:$K$346,8,0)&amp;""</f>
        <v/>
      </c>
      <c r="I130" s="10" t="str">
        <f>VLOOKUP($A130,'Institution Evaluation'!$A$56:$K$346,9,0)&amp;""</f>
        <v>Minor Importance</v>
      </c>
      <c r="J130" s="10" t="str">
        <f>VLOOKUP($A130,'Institution Evaluation'!$A$56:$K$346,10,0)&amp;""</f>
        <v/>
      </c>
      <c r="K130" s="10">
        <f t="shared" si="19"/>
        <v>5</v>
      </c>
      <c r="L130" s="114">
        <f>IF($E130="Not Scored", "N/A",IF(AND($D130='Auto Responses'!$J$27,$H130=""),"N/A",IF(AND($D130='Auto Responses'!$J$27,$H130='Auto Responses'!$J$7),1,IF(AND($D130='Auto Responses'!$J$27,$H130='Auto Responses'!$J$8),0,IF(OR($F130=$G130,$H130='Auto Responses'!$J$7),1,0)))))</f>
        <v>1</v>
      </c>
      <c r="M130" s="10" t="str">
        <f>VLOOKUP($A130,'Institution Evaluation'!$A$56:$K$346,10,0)&amp;""</f>
        <v/>
      </c>
      <c r="N130" s="10">
        <f t="shared" si="20"/>
        <v>0</v>
      </c>
      <c r="O130" s="114">
        <f t="shared" si="24"/>
        <v>5</v>
      </c>
      <c r="P130" s="114">
        <f t="shared" si="25"/>
        <v>5</v>
      </c>
      <c r="Q130" s="114">
        <f t="shared" ref="Q130:Q189" si="26">IF(M130="TRUE",1,0)</f>
        <v>0</v>
      </c>
      <c r="R130" s="114">
        <f t="shared" si="22"/>
        <v>0</v>
      </c>
      <c r="S130" s="114">
        <f t="shared" ref="S130:S189" si="27">IF(Q130=0,0,R130)</f>
        <v>0</v>
      </c>
      <c r="T130" s="114">
        <f t="shared" ref="T130:T189" si="28">IF(N130=1,1,0)</f>
        <v>0</v>
      </c>
      <c r="U130" s="114">
        <f t="shared" si="23"/>
        <v>44</v>
      </c>
      <c r="V130" s="114">
        <f t="shared" ref="V130:V189" si="29">IF(T130=0,0,U130)</f>
        <v>0</v>
      </c>
    </row>
    <row r="131" spans="1:22" ht="56" x14ac:dyDescent="0.3">
      <c r="A131" s="10" t="str">
        <f>Questions!$A132</f>
        <v>DATA-21</v>
      </c>
      <c r="B131" s="10" t="str">
        <f t="shared" ref="B131:B190" si="30">LEFT(A131,4)</f>
        <v>DATA</v>
      </c>
      <c r="C131" s="10" t="str">
        <f>VLOOKUP($A131,Questions!$A$3:$L$333,2,0)&amp;""</f>
        <v>In the event of imminent bankruptcy, closing of business, or retirement of service, will you provide 90 days for customers to get their data out of the system and migrate applications?</v>
      </c>
      <c r="D131" s="10" t="str">
        <f>VLOOKUP($A131,Questions!$A$3:$L$333,11,0)&amp;""</f>
        <v/>
      </c>
      <c r="E131" s="10" t="str">
        <f>VLOOKUP($A131,Questions!$A$3:$L$333,12,0)&amp;""</f>
        <v>Product</v>
      </c>
      <c r="F131" s="10" t="str">
        <f>VLOOKUP($A131,'Institution Evaluation'!$A$56:$K$346,3,0)&amp;""</f>
        <v>No</v>
      </c>
      <c r="G131" s="10" t="str">
        <f>VLOOKUP($A131,'Institution Evaluation'!$A$56:$K$346,7,0)&amp;""</f>
        <v>Yes</v>
      </c>
      <c r="H131" s="10" t="str">
        <f>VLOOKUP($A131,'Institution Evaluation'!$A$56:$K$346,8,0)&amp;""</f>
        <v/>
      </c>
      <c r="I131" s="10" t="str">
        <f>VLOOKUP($A131,'Institution Evaluation'!$A$56:$K$346,9,0)&amp;""</f>
        <v>Minor Importance</v>
      </c>
      <c r="J131" s="10" t="str">
        <f>VLOOKUP($A131,'Institution Evaluation'!$A$56:$K$346,10,0)&amp;""</f>
        <v/>
      </c>
      <c r="K131" s="10">
        <f t="shared" ref="K131:K190" si="31">IF($I131="Critical Importance",20,IF($I131="Minor Importance",5,10))</f>
        <v>5</v>
      </c>
      <c r="L131" s="114">
        <f>IF($E131="Not Scored", "N/A",IF(AND($D131='Auto Responses'!$J$27,$H131=""),"N/A",IF(AND($D131='Auto Responses'!$J$27,$H131='Auto Responses'!$J$7),1,IF(AND($D131='Auto Responses'!$J$27,$H131='Auto Responses'!$J$8),0,IF(OR($F131=$G131,$H131='Auto Responses'!$J$7),1,0)))))</f>
        <v>0</v>
      </c>
      <c r="M131" s="10" t="str">
        <f>VLOOKUP($A131,'Institution Evaluation'!$A$56:$K$346,10,0)&amp;""</f>
        <v/>
      </c>
      <c r="N131" s="10">
        <f t="shared" ref="N131:N190" si="32">IF($J131="Critical Importance",1,IF(AND($J131="",$I131="Critical Importance"),1,0))</f>
        <v>0</v>
      </c>
      <c r="O131" s="114">
        <f t="shared" ref="O131:O175" si="33">IF($E131="Not Scored","N/A",IF($J131="",$K131,IF($J131="Minor Importance",5,IF($J131="Standard Importance",10,IF($J131="Critical Importance",20,0)))))</f>
        <v>5</v>
      </c>
      <c r="P131" s="114">
        <f t="shared" ref="P131:P190" si="34">IF(OR($O131="N/A",$L131="N/A"),"N/A",$O131*$L131)</f>
        <v>0</v>
      </c>
      <c r="Q131" s="114">
        <f t="shared" si="26"/>
        <v>0</v>
      </c>
      <c r="R131" s="114">
        <f t="shared" si="22"/>
        <v>0</v>
      </c>
      <c r="S131" s="114">
        <f t="shared" si="27"/>
        <v>0</v>
      </c>
      <c r="T131" s="114">
        <f t="shared" si="28"/>
        <v>0</v>
      </c>
      <c r="U131" s="114">
        <f t="shared" si="23"/>
        <v>44</v>
      </c>
      <c r="V131" s="114">
        <f t="shared" si="29"/>
        <v>0</v>
      </c>
    </row>
    <row r="132" spans="1:22" ht="56" x14ac:dyDescent="0.3">
      <c r="A132" s="10" t="str">
        <f>Questions!$A133</f>
        <v>DATA-22</v>
      </c>
      <c r="B132" s="10" t="str">
        <f t="shared" si="30"/>
        <v>DATA</v>
      </c>
      <c r="C132" s="10" t="str">
        <f>VLOOKUP($A132,Questions!$A$3:$L$333,2,0)&amp;""</f>
        <v>Are involatile backup copies made according to predefined schedules and securely stored and protected?</v>
      </c>
      <c r="D132" s="10" t="str">
        <f>VLOOKUP($A132,Questions!$A$3:$L$333,11,0)&amp;""</f>
        <v/>
      </c>
      <c r="E132" s="10" t="str">
        <f>VLOOKUP($A132,Questions!$A$3:$L$333,12,0)&amp;""</f>
        <v>Product</v>
      </c>
      <c r="F132" s="10" t="str">
        <f>VLOOKUP($A132,'Institution Evaluation'!$A$56:$K$346,3,0)&amp;""</f>
        <v>Yes</v>
      </c>
      <c r="G132" s="10" t="str">
        <f>VLOOKUP($A132,'Institution Evaluation'!$A$56:$K$346,7,0)&amp;""</f>
        <v>Yes</v>
      </c>
      <c r="H132" s="10" t="str">
        <f>VLOOKUP($A132,'Institution Evaluation'!$A$56:$K$346,8,0)&amp;""</f>
        <v/>
      </c>
      <c r="I132" s="10" t="str">
        <f>VLOOKUP($A132,'Institution Evaluation'!$A$56:$K$346,9,0)&amp;""</f>
        <v>Minor Importance</v>
      </c>
      <c r="J132" s="10" t="str">
        <f>VLOOKUP($A132,'Institution Evaluation'!$A$56:$K$346,10,0)&amp;""</f>
        <v/>
      </c>
      <c r="K132" s="10">
        <f t="shared" si="31"/>
        <v>5</v>
      </c>
      <c r="L132" s="114">
        <f>IF($E132="Not Scored", "N/A",IF(AND($D132='Auto Responses'!$J$27,$H132=""),"N/A",IF(AND($D132='Auto Responses'!$J$27,$H132='Auto Responses'!$J$7),1,IF(AND($D132='Auto Responses'!$J$27,$H132='Auto Responses'!$J$8),0,IF(OR($F132=$G132,$H132='Auto Responses'!$J$7),1,0)))))</f>
        <v>1</v>
      </c>
      <c r="M132" s="10" t="str">
        <f>VLOOKUP($A132,'Institution Evaluation'!$A$56:$K$346,10,0)&amp;""</f>
        <v/>
      </c>
      <c r="N132" s="10">
        <f t="shared" si="32"/>
        <v>0</v>
      </c>
      <c r="O132" s="114">
        <f t="shared" si="33"/>
        <v>5</v>
      </c>
      <c r="P132" s="114">
        <f t="shared" si="34"/>
        <v>5</v>
      </c>
      <c r="Q132" s="114">
        <f t="shared" si="26"/>
        <v>0</v>
      </c>
      <c r="R132" s="114">
        <f t="shared" si="22"/>
        <v>0</v>
      </c>
      <c r="S132" s="114">
        <f t="shared" si="27"/>
        <v>0</v>
      </c>
      <c r="T132" s="114">
        <f t="shared" si="28"/>
        <v>0</v>
      </c>
      <c r="U132" s="114">
        <f t="shared" si="23"/>
        <v>44</v>
      </c>
      <c r="V132" s="114">
        <f t="shared" si="29"/>
        <v>0</v>
      </c>
    </row>
    <row r="133" spans="1:22" ht="56" x14ac:dyDescent="0.3">
      <c r="A133" s="10" t="str">
        <f>Questions!$A125</f>
        <v>DATA-14</v>
      </c>
      <c r="B133" s="10" t="str">
        <f t="shared" si="30"/>
        <v>DATA</v>
      </c>
      <c r="C133" s="10" t="str">
        <f>VLOOKUP($A133,Questions!$A$3:$L$333,2,0)&amp;""</f>
        <v>Are data backups encrypted?</v>
      </c>
      <c r="D133" s="10" t="str">
        <f>VLOOKUP($A133,Questions!$A$3:$L$333,11,0)&amp;""</f>
        <v/>
      </c>
      <c r="E133" s="10" t="str">
        <f>VLOOKUP($A133,Questions!$A$3:$L$333,12,0)&amp;""</f>
        <v>Product</v>
      </c>
      <c r="F133" s="10" t="str">
        <f>VLOOKUP($A133,'Institution Evaluation'!$A$56:$K$346,3,0)&amp;""</f>
        <v>Yes</v>
      </c>
      <c r="G133" s="10" t="str">
        <f>VLOOKUP($A133,'Institution Evaluation'!$A$56:$K$346,7,0)&amp;""</f>
        <v>Yes</v>
      </c>
      <c r="H133" s="10" t="str">
        <f>VLOOKUP($A133,'Institution Evaluation'!$A$56:$K$346,8,0)&amp;""</f>
        <v/>
      </c>
      <c r="I133" s="10" t="str">
        <f>VLOOKUP($A133,'Institution Evaluation'!$A$56:$K$346,9,0)&amp;""</f>
        <v>Minor Importance</v>
      </c>
      <c r="J133" s="10" t="str">
        <f>VLOOKUP($A133,'Institution Evaluation'!$A$56:$K$346,10,0)&amp;""</f>
        <v/>
      </c>
      <c r="K133" s="10">
        <f t="shared" si="31"/>
        <v>5</v>
      </c>
      <c r="L133" s="114">
        <f>IF($E133="Not Scored", "N/A",IF(AND($D133='Auto Responses'!$J$27,$H133=""),"N/A",IF(AND($D133='Auto Responses'!$J$27,$H133='Auto Responses'!$J$7),1,IF(AND($D133='Auto Responses'!$J$27,$H133='Auto Responses'!$J$8),0,IF(OR($F133=$G133,$H133='Auto Responses'!$J$7),1,0)))))</f>
        <v>1</v>
      </c>
      <c r="M133" s="10" t="str">
        <f>VLOOKUP($A133,'Institution Evaluation'!$A$56:$K$346,10,0)&amp;""</f>
        <v/>
      </c>
      <c r="N133" s="10">
        <f t="shared" si="32"/>
        <v>0</v>
      </c>
      <c r="O133" s="114">
        <f t="shared" si="33"/>
        <v>5</v>
      </c>
      <c r="P133" s="114">
        <f t="shared" si="34"/>
        <v>5</v>
      </c>
      <c r="Q133" s="114">
        <f t="shared" si="26"/>
        <v>0</v>
      </c>
      <c r="R133" s="114">
        <f t="shared" ref="R133:R196" si="35">R132+Q133</f>
        <v>0</v>
      </c>
      <c r="S133" s="114">
        <f t="shared" si="27"/>
        <v>0</v>
      </c>
      <c r="T133" s="114">
        <f t="shared" si="28"/>
        <v>0</v>
      </c>
      <c r="U133" s="114">
        <f t="shared" ref="U133:U196" si="36">U132+T133</f>
        <v>44</v>
      </c>
      <c r="V133" s="114">
        <f t="shared" si="29"/>
        <v>0</v>
      </c>
    </row>
    <row r="134" spans="1:22" ht="70" x14ac:dyDescent="0.3">
      <c r="A134" s="10" t="str">
        <f>Questions!$A134</f>
        <v>DATA-23</v>
      </c>
      <c r="B134" s="10" t="str">
        <f t="shared" si="30"/>
        <v>DATA</v>
      </c>
      <c r="C134" s="10" t="str">
        <f>VLOOKUP($A134,Questions!$A$3:$L$333,2,0)&amp;""</f>
        <v>Do you have a cryptographic key management process (generation, exchange, storage, safeguards, use, vetting, and replacement) that is documented and currently implemented, for all system components (e.g., database, system, web, etc.)?</v>
      </c>
      <c r="D134" s="10" t="str">
        <f>VLOOKUP($A134,Questions!$A$3:$L$333,11,0)&amp;""</f>
        <v/>
      </c>
      <c r="E134" s="10" t="str">
        <f>VLOOKUP($A134,Questions!$A$3:$L$333,12,0)&amp;""</f>
        <v>Product</v>
      </c>
      <c r="F134" s="10" t="str">
        <f>VLOOKUP($A134,'Institution Evaluation'!$A$56:$K$346,3,0)&amp;""</f>
        <v>Yes</v>
      </c>
      <c r="G134" s="10" t="str">
        <f>VLOOKUP($A134,'Institution Evaluation'!$A$56:$K$346,7,0)&amp;""</f>
        <v>Yes</v>
      </c>
      <c r="H134" s="10" t="str">
        <f>VLOOKUP($A134,'Institution Evaluation'!$A$56:$K$346,8,0)&amp;""</f>
        <v/>
      </c>
      <c r="I134" s="10" t="str">
        <f>VLOOKUP($A134,'Institution Evaluation'!$A$56:$K$346,9,0)&amp;""</f>
        <v>Minor Importance</v>
      </c>
      <c r="J134" s="10" t="str">
        <f>VLOOKUP($A134,'Institution Evaluation'!$A$56:$K$346,10,0)&amp;""</f>
        <v/>
      </c>
      <c r="K134" s="10">
        <f t="shared" si="31"/>
        <v>5</v>
      </c>
      <c r="L134" s="114">
        <f>IF($E134="Not Scored", "N/A",IF(AND($D134='Auto Responses'!$J$27,$H134=""),"N/A",IF(AND($D134='Auto Responses'!$J$27,$H134='Auto Responses'!$J$7),1,IF(AND($D134='Auto Responses'!$J$27,$H134='Auto Responses'!$J$8),0,IF(OR($F134=$G134,$H134='Auto Responses'!$J$7),1,0)))))</f>
        <v>1</v>
      </c>
      <c r="M134" s="10" t="str">
        <f>VLOOKUP($A134,'Institution Evaluation'!$A$56:$K$346,10,0)&amp;""</f>
        <v/>
      </c>
      <c r="N134" s="10">
        <f t="shared" si="32"/>
        <v>0</v>
      </c>
      <c r="O134" s="114">
        <f t="shared" si="33"/>
        <v>5</v>
      </c>
      <c r="P134" s="114">
        <f t="shared" si="34"/>
        <v>5</v>
      </c>
      <c r="Q134" s="114">
        <f t="shared" si="26"/>
        <v>0</v>
      </c>
      <c r="R134" s="114">
        <f t="shared" si="35"/>
        <v>0</v>
      </c>
      <c r="S134" s="114">
        <f t="shared" si="27"/>
        <v>0</v>
      </c>
      <c r="T134" s="114">
        <f t="shared" si="28"/>
        <v>0</v>
      </c>
      <c r="U134" s="114">
        <f t="shared" si="36"/>
        <v>44</v>
      </c>
      <c r="V134" s="114">
        <f t="shared" si="29"/>
        <v>0</v>
      </c>
    </row>
    <row r="135" spans="1:22" ht="56" x14ac:dyDescent="0.3">
      <c r="A135" s="10" t="str">
        <f>Questions!$A135</f>
        <v>DCTR-01</v>
      </c>
      <c r="B135" s="10" t="str">
        <f t="shared" si="30"/>
        <v>DCTR</v>
      </c>
      <c r="C135" s="10" t="str">
        <f>VLOOKUP($A135,Questions!$A$3:$L$333,2,0)&amp;""</f>
        <v>Select your hosting option.</v>
      </c>
      <c r="D135" s="10" t="str">
        <f>VLOOKUP($A135,Questions!$A$3:$L$333,11,0)&amp;""</f>
        <v/>
      </c>
      <c r="E135" s="10" t="str">
        <f>VLOOKUP($A135,Questions!$A$3:$L$333,12,0)&amp;""</f>
        <v>Not scored</v>
      </c>
      <c r="F135" s="10" t="str">
        <f>VLOOKUP($A135,'Institution Evaluation'!$A$56:$K$346,3,0)&amp;""</f>
        <v>AWS</v>
      </c>
      <c r="G135" s="10" t="str">
        <f>VLOOKUP($A135,'Institution Evaluation'!$A$56:$K$346,7,0)&amp;""</f>
        <v>Not scored</v>
      </c>
      <c r="H135" s="10" t="str">
        <f>VLOOKUP($A135,'Institution Evaluation'!$A$56:$K$346,8,0)&amp;""</f>
        <v/>
      </c>
      <c r="I135" s="10" t="str">
        <f>VLOOKUP($A135,'Institution Evaluation'!$A$56:$K$346,9,0)&amp;""</f>
        <v/>
      </c>
      <c r="J135" s="10" t="str">
        <f>VLOOKUP($A135,'Institution Evaluation'!$A$56:$K$346,10,0)&amp;""</f>
        <v/>
      </c>
      <c r="K135" s="10">
        <f t="shared" si="31"/>
        <v>10</v>
      </c>
      <c r="L135" s="114" t="str">
        <f>IF(OR($E135="Not Scored",$F135=""),"N/A",IF(AND($D135='Auto Responses'!$J$27,$H135=""),"N/A",IF(AND($D135='Auto Responses'!$J$27,$H135='Auto Responses'!$J$7),1,IF(AND($D135='Auto Responses'!$J$27,$H135='Auto Responses'!$J$8),0,IF(OR($F135=$G135,$H135='Auto Responses'!$J$7),1,0)))))</f>
        <v>N/A</v>
      </c>
      <c r="M135" s="10" t="str">
        <f>VLOOKUP($A135,'Institution Evaluation'!$A$56:$K$346,10,0)&amp;""</f>
        <v/>
      </c>
      <c r="N135" s="10">
        <f t="shared" si="32"/>
        <v>0</v>
      </c>
      <c r="O135" s="114" t="str">
        <f>IF(OR($F$17="No",$E135="Not Scored",$F135=""),"N/A",IF($J135="",$K135,IF($J135="Minor Importance",5,IF($J135="Standard Importance",10,IF($J135="Critical Importance",20,0)))))</f>
        <v>N/A</v>
      </c>
      <c r="P135" s="114" t="str">
        <f t="shared" si="34"/>
        <v>N/A</v>
      </c>
      <c r="Q135" s="114">
        <f t="shared" si="26"/>
        <v>0</v>
      </c>
      <c r="R135" s="114">
        <f t="shared" si="35"/>
        <v>0</v>
      </c>
      <c r="S135" s="114">
        <f t="shared" si="27"/>
        <v>0</v>
      </c>
      <c r="T135" s="114">
        <f t="shared" si="28"/>
        <v>0</v>
      </c>
      <c r="U135" s="114">
        <f t="shared" si="36"/>
        <v>44</v>
      </c>
      <c r="V135" s="114">
        <f t="shared" si="29"/>
        <v>0</v>
      </c>
    </row>
    <row r="136" spans="1:22" ht="56" x14ac:dyDescent="0.3">
      <c r="A136" s="10" t="str">
        <f>Questions!$A136</f>
        <v>DCTR-02</v>
      </c>
      <c r="B136" s="10" t="str">
        <f t="shared" si="30"/>
        <v>DCTR</v>
      </c>
      <c r="C136" s="10" t="str">
        <f>VLOOKUP($A136,Questions!$A$3:$L$333,2,0)&amp;""</f>
        <v>Is a SOC 2 Type 2 report available for the hosting environment?</v>
      </c>
      <c r="D136" s="10" t="str">
        <f>VLOOKUP($A136,Questions!$A$3:$L$333,11,0)&amp;""</f>
        <v/>
      </c>
      <c r="E136" s="10" t="str">
        <f>VLOOKUP($A136,Questions!$A$3:$L$333,12,0)&amp;""</f>
        <v>Infrastructure</v>
      </c>
      <c r="F136" s="10" t="str">
        <f>VLOOKUP($A136,'Institution Evaluation'!$A$56:$K$346,3,0)&amp;""</f>
        <v/>
      </c>
      <c r="G136" s="10" t="str">
        <f>VLOOKUP($A136,'Institution Evaluation'!$A$56:$K$346,7,0)&amp;""</f>
        <v>Yes</v>
      </c>
      <c r="H136" s="10" t="str">
        <f>VLOOKUP($A136,'Institution Evaluation'!$A$56:$K$346,8,0)&amp;""</f>
        <v/>
      </c>
      <c r="I136" s="10" t="str">
        <f>VLOOKUP($A136,'Institution Evaluation'!$A$56:$K$346,9,0)&amp;""</f>
        <v>Standard Importance</v>
      </c>
      <c r="J136" s="10" t="str">
        <f>VLOOKUP($A136,'Institution Evaluation'!$A$56:$K$346,10,0)&amp;""</f>
        <v/>
      </c>
      <c r="K136" s="10">
        <f t="shared" si="31"/>
        <v>10</v>
      </c>
      <c r="L136" s="114" t="str">
        <f>IF(OR($E136="Not Scored",$F136=""),"N/A",IF(AND($D136='Auto Responses'!$J$27,$H136=""),"N/A",IF(AND($D136='Auto Responses'!$J$27,$H136='Auto Responses'!$J$7),1,IF(AND($D136='Auto Responses'!$J$27,$H136='Auto Responses'!$J$8),0,IF(OR($F136=$G136,$H136='Auto Responses'!$J$7),1,0)))))</f>
        <v>N/A</v>
      </c>
      <c r="M136" s="10" t="str">
        <f>VLOOKUP($A136,'Institution Evaluation'!$A$56:$K$346,10,0)&amp;""</f>
        <v/>
      </c>
      <c r="N136" s="10">
        <f t="shared" si="32"/>
        <v>0</v>
      </c>
      <c r="O136" s="114" t="str">
        <f t="shared" ref="O136:O150" si="37">IF(OR($F$17="No",$E136="Not Scored",$F136=""),"N/A",IF($J136="",$K136,IF($J136="Minor Importance",5,IF($J136="Standard Importance",10,IF($J136="Critical Importance",20,0)))))</f>
        <v>N/A</v>
      </c>
      <c r="P136" s="114" t="str">
        <f t="shared" si="34"/>
        <v>N/A</v>
      </c>
      <c r="Q136" s="114">
        <f t="shared" si="26"/>
        <v>0</v>
      </c>
      <c r="R136" s="114">
        <f t="shared" si="35"/>
        <v>0</v>
      </c>
      <c r="S136" s="114">
        <f t="shared" si="27"/>
        <v>0</v>
      </c>
      <c r="T136" s="114">
        <f t="shared" si="28"/>
        <v>0</v>
      </c>
      <c r="U136" s="114">
        <f t="shared" si="36"/>
        <v>44</v>
      </c>
      <c r="V136" s="114">
        <f t="shared" si="29"/>
        <v>0</v>
      </c>
    </row>
    <row r="137" spans="1:22" ht="56" x14ac:dyDescent="0.3">
      <c r="A137" s="10" t="str">
        <f>Questions!$A137</f>
        <v>DCTR-03</v>
      </c>
      <c r="B137" s="10" t="str">
        <f t="shared" si="30"/>
        <v>DCTR</v>
      </c>
      <c r="C137" s="10" t="str">
        <f>VLOOKUP($A137,Questions!$A$3:$L$333,2,0)&amp;""</f>
        <v>Are you generally able to accommodate storing each institution's data within its geographic region?</v>
      </c>
      <c r="D137" s="10" t="str">
        <f>VLOOKUP($A137,Questions!$A$3:$L$333,11,0)&amp;""</f>
        <v/>
      </c>
      <c r="E137" s="10" t="str">
        <f>VLOOKUP($A137,Questions!$A$3:$L$333,12,0)&amp;""</f>
        <v>Infrastructure</v>
      </c>
      <c r="F137" s="10" t="str">
        <f>VLOOKUP($A137,'Institution Evaluation'!$A$56:$K$346,3,0)&amp;""</f>
        <v>No</v>
      </c>
      <c r="G137" s="10" t="str">
        <f>VLOOKUP($A137,'Institution Evaluation'!$A$56:$K$346,7,0)&amp;""</f>
        <v>Yes</v>
      </c>
      <c r="H137" s="10" t="str">
        <f>VLOOKUP($A137,'Institution Evaluation'!$A$56:$K$346,8,0)&amp;""</f>
        <v/>
      </c>
      <c r="I137" s="10" t="str">
        <f>VLOOKUP($A137,'Institution Evaluation'!$A$56:$K$346,9,0)&amp;""</f>
        <v>Standard Importance</v>
      </c>
      <c r="J137" s="10" t="str">
        <f>VLOOKUP($A137,'Institution Evaluation'!$A$56:$K$346,10,0)&amp;""</f>
        <v/>
      </c>
      <c r="K137" s="10">
        <f t="shared" si="31"/>
        <v>10</v>
      </c>
      <c r="L137" s="114">
        <f>IF(OR($E137="Not Scored",$F137=""),"N/A",IF(AND($D137='Auto Responses'!$J$27,$H137=""),"N/A",IF(AND($D137='Auto Responses'!$J$27,$H137='Auto Responses'!$J$7),1,IF(AND($D137='Auto Responses'!$J$27,$H137='Auto Responses'!$J$8),0,IF(OR($F137=$G137,$H137='Auto Responses'!$J$7),1,0)))))</f>
        <v>0</v>
      </c>
      <c r="M137" s="10" t="str">
        <f>VLOOKUP($A137,'Institution Evaluation'!$A$56:$K$346,10,0)&amp;""</f>
        <v/>
      </c>
      <c r="N137" s="10">
        <f t="shared" si="32"/>
        <v>0</v>
      </c>
      <c r="O137" s="114">
        <f t="shared" si="37"/>
        <v>10</v>
      </c>
      <c r="P137" s="114">
        <f t="shared" si="34"/>
        <v>0</v>
      </c>
      <c r="Q137" s="114">
        <f t="shared" si="26"/>
        <v>0</v>
      </c>
      <c r="R137" s="114">
        <f t="shared" si="35"/>
        <v>0</v>
      </c>
      <c r="S137" s="114">
        <f t="shared" si="27"/>
        <v>0</v>
      </c>
      <c r="T137" s="114">
        <f t="shared" si="28"/>
        <v>0</v>
      </c>
      <c r="U137" s="114">
        <f t="shared" si="36"/>
        <v>44</v>
      </c>
      <c r="V137" s="114">
        <f t="shared" si="29"/>
        <v>0</v>
      </c>
    </row>
    <row r="138" spans="1:22" ht="56" x14ac:dyDescent="0.3">
      <c r="A138" s="10" t="str">
        <f>Questions!$A138</f>
        <v>DCTR-04</v>
      </c>
      <c r="B138" s="10" t="str">
        <f t="shared" si="30"/>
        <v>DCTR</v>
      </c>
      <c r="C138" s="10" t="str">
        <f>VLOOKUP($A138,Questions!$A$3:$L$333,2,0)&amp;""</f>
        <v>Are the data centers staffed 24 hours a day, seven days a week (i.e., 24 x 7 x 365)?</v>
      </c>
      <c r="D138" s="10" t="str">
        <f>VLOOKUP($A138,Questions!$A$3:$L$333,11,0)&amp;""</f>
        <v/>
      </c>
      <c r="E138" s="10" t="str">
        <f>VLOOKUP($A138,Questions!$A$3:$L$333,12,0)&amp;""</f>
        <v>Infrastructure</v>
      </c>
      <c r="F138" s="10" t="str">
        <f>VLOOKUP($A138,'Institution Evaluation'!$A$56:$K$346,3,0)&amp;""</f>
        <v/>
      </c>
      <c r="G138" s="10" t="str">
        <f>VLOOKUP($A138,'Institution Evaluation'!$A$56:$K$346,7,0)&amp;""</f>
        <v>Yes</v>
      </c>
      <c r="H138" s="10" t="str">
        <f>VLOOKUP($A138,'Institution Evaluation'!$A$56:$K$346,8,0)&amp;""</f>
        <v/>
      </c>
      <c r="I138" s="10" t="str">
        <f>VLOOKUP($A138,'Institution Evaluation'!$A$56:$K$346,9,0)&amp;""</f>
        <v>Standard Importance</v>
      </c>
      <c r="J138" s="10" t="str">
        <f>VLOOKUP($A138,'Institution Evaluation'!$A$56:$K$346,10,0)&amp;""</f>
        <v/>
      </c>
      <c r="K138" s="10">
        <f t="shared" si="31"/>
        <v>10</v>
      </c>
      <c r="L138" s="114" t="str">
        <f>IF(OR($E138="Not Scored",$F138=""),"N/A",IF(AND($D138='Auto Responses'!$J$27,$H138=""),"N/A",IF(AND($D138='Auto Responses'!$J$27,$H138='Auto Responses'!$J$7),1,IF(AND($D138='Auto Responses'!$J$27,$H138='Auto Responses'!$J$8),0,IF(OR($F138=$G138,$H138='Auto Responses'!$J$7),1,0)))))</f>
        <v>N/A</v>
      </c>
      <c r="M138" s="10" t="str">
        <f>VLOOKUP($A138,'Institution Evaluation'!$A$56:$K$346,10,0)&amp;""</f>
        <v/>
      </c>
      <c r="N138" s="10">
        <f t="shared" si="32"/>
        <v>0</v>
      </c>
      <c r="O138" s="114" t="str">
        <f t="shared" si="37"/>
        <v>N/A</v>
      </c>
      <c r="P138" s="114" t="str">
        <f t="shared" si="34"/>
        <v>N/A</v>
      </c>
      <c r="Q138" s="114">
        <f t="shared" si="26"/>
        <v>0</v>
      </c>
      <c r="R138" s="114">
        <f t="shared" si="35"/>
        <v>0</v>
      </c>
      <c r="S138" s="114">
        <f t="shared" si="27"/>
        <v>0</v>
      </c>
      <c r="T138" s="114">
        <f t="shared" si="28"/>
        <v>0</v>
      </c>
      <c r="U138" s="114">
        <f t="shared" si="36"/>
        <v>44</v>
      </c>
      <c r="V138" s="114">
        <f t="shared" si="29"/>
        <v>0</v>
      </c>
    </row>
    <row r="139" spans="1:22" ht="56" x14ac:dyDescent="0.3">
      <c r="A139" s="10" t="str">
        <f>Questions!$A139</f>
        <v>DCTR-05</v>
      </c>
      <c r="B139" s="10" t="str">
        <f t="shared" si="30"/>
        <v>DCTR</v>
      </c>
      <c r="C139" s="10" t="str">
        <f>VLOOKUP($A139,Questions!$A$3:$L$333,2,0)&amp;""</f>
        <v>Are your servers separated from other companies via a physical barrier, such as a cage or hard walls?</v>
      </c>
      <c r="D139" s="10" t="str">
        <f>VLOOKUP($A139,Questions!$A$3:$L$333,11,0)&amp;""</f>
        <v/>
      </c>
      <c r="E139" s="10" t="str">
        <f>VLOOKUP($A139,Questions!$A$3:$L$333,12,0)&amp;""</f>
        <v>Infrastructure</v>
      </c>
      <c r="F139" s="10" t="str">
        <f>VLOOKUP($A139,'Institution Evaluation'!$A$56:$K$346,3,0)&amp;""</f>
        <v/>
      </c>
      <c r="G139" s="10" t="str">
        <f>VLOOKUP($A139,'Institution Evaluation'!$A$56:$K$346,7,0)&amp;""</f>
        <v>Yes</v>
      </c>
      <c r="H139" s="10" t="str">
        <f>VLOOKUP($A139,'Institution Evaluation'!$A$56:$K$346,8,0)&amp;""</f>
        <v/>
      </c>
      <c r="I139" s="10" t="str">
        <f>VLOOKUP($A139,'Institution Evaluation'!$A$56:$K$346,9,0)&amp;""</f>
        <v>Standard Importance</v>
      </c>
      <c r="J139" s="10" t="str">
        <f>VLOOKUP($A139,'Institution Evaluation'!$A$56:$K$346,10,0)&amp;""</f>
        <v/>
      </c>
      <c r="K139" s="10">
        <f t="shared" si="31"/>
        <v>10</v>
      </c>
      <c r="L139" s="114" t="str">
        <f>IF(OR($E139="Not Scored",$F139=""),"N/A",IF(AND($D139='Auto Responses'!$J$27,$H139=""),"N/A",IF(AND($D139='Auto Responses'!$J$27,$H139='Auto Responses'!$J$7),1,IF(AND($D139='Auto Responses'!$J$27,$H139='Auto Responses'!$J$8),0,IF(OR($F139=$G139,$H139='Auto Responses'!$J$7),1,0)))))</f>
        <v>N/A</v>
      </c>
      <c r="M139" s="10" t="str">
        <f>VLOOKUP($A139,'Institution Evaluation'!$A$56:$K$346,10,0)&amp;""</f>
        <v/>
      </c>
      <c r="N139" s="10">
        <f t="shared" si="32"/>
        <v>0</v>
      </c>
      <c r="O139" s="114" t="str">
        <f t="shared" si="37"/>
        <v>N/A</v>
      </c>
      <c r="P139" s="114" t="str">
        <f t="shared" si="34"/>
        <v>N/A</v>
      </c>
      <c r="Q139" s="114">
        <f t="shared" si="26"/>
        <v>0</v>
      </c>
      <c r="R139" s="114">
        <f t="shared" si="35"/>
        <v>0</v>
      </c>
      <c r="S139" s="114">
        <f t="shared" si="27"/>
        <v>0</v>
      </c>
      <c r="T139" s="114">
        <f t="shared" si="28"/>
        <v>0</v>
      </c>
      <c r="U139" s="114">
        <f t="shared" si="36"/>
        <v>44</v>
      </c>
      <c r="V139" s="114">
        <f t="shared" si="29"/>
        <v>0</v>
      </c>
    </row>
    <row r="140" spans="1:22" ht="56" x14ac:dyDescent="0.3">
      <c r="A140" s="10" t="str">
        <f>Questions!$A140</f>
        <v>DCTR-06</v>
      </c>
      <c r="B140" s="10" t="str">
        <f t="shared" si="30"/>
        <v>DCTR</v>
      </c>
      <c r="C140" s="10" t="str">
        <f>VLOOKUP($A140,Questions!$A$3:$L$333,2,0)&amp;""</f>
        <v>Does a physical barrier fully enclose the physical space, preventing unauthorized physical contact with any of your devices?*</v>
      </c>
      <c r="D140" s="10" t="str">
        <f>VLOOKUP($A140,Questions!$A$3:$L$333,11,0)&amp;""</f>
        <v/>
      </c>
      <c r="E140" s="10" t="str">
        <f>VLOOKUP($A140,Questions!$A$3:$L$333,12,0)&amp;""</f>
        <v>Infrastructure</v>
      </c>
      <c r="F140" s="10" t="str">
        <f>VLOOKUP($A140,'Institution Evaluation'!$A$56:$K$346,3,0)&amp;""</f>
        <v/>
      </c>
      <c r="G140" s="10" t="str">
        <f>VLOOKUP($A140,'Institution Evaluation'!$A$56:$K$346,7,0)&amp;""</f>
        <v>Yes</v>
      </c>
      <c r="H140" s="10" t="str">
        <f>VLOOKUP($A140,'Institution Evaluation'!$A$56:$K$346,8,0)&amp;""</f>
        <v/>
      </c>
      <c r="I140" s="10" t="str">
        <f>VLOOKUP($A140,'Institution Evaluation'!$A$56:$K$346,9,0)&amp;""</f>
        <v>Critical Importance</v>
      </c>
      <c r="J140" s="10" t="str">
        <f>VLOOKUP($A140,'Institution Evaluation'!$A$56:$K$346,10,0)&amp;""</f>
        <v/>
      </c>
      <c r="K140" s="10">
        <f t="shared" si="31"/>
        <v>20</v>
      </c>
      <c r="L140" s="114" t="str">
        <f>IF(OR($E140="Not Scored",$F140=""),"N/A",IF(AND($D140='Auto Responses'!$J$27,$H140=""),"N/A",IF(AND($D140='Auto Responses'!$J$27,$H140='Auto Responses'!$J$7),1,IF(AND($D140='Auto Responses'!$J$27,$H140='Auto Responses'!$J$8),0,IF(OR($F140=$G140,$H140='Auto Responses'!$J$7),1,0)))))</f>
        <v>N/A</v>
      </c>
      <c r="M140" s="10" t="str">
        <f>VLOOKUP($A140,'Institution Evaluation'!$A$56:$K$346,10,0)&amp;""</f>
        <v/>
      </c>
      <c r="N140" s="10">
        <f t="shared" si="32"/>
        <v>1</v>
      </c>
      <c r="O140" s="114" t="str">
        <f t="shared" si="37"/>
        <v>N/A</v>
      </c>
      <c r="P140" s="114" t="str">
        <f t="shared" si="34"/>
        <v>N/A</v>
      </c>
      <c r="Q140" s="114">
        <f t="shared" si="26"/>
        <v>0</v>
      </c>
      <c r="R140" s="114">
        <f t="shared" si="35"/>
        <v>0</v>
      </c>
      <c r="S140" s="114">
        <f t="shared" si="27"/>
        <v>0</v>
      </c>
      <c r="T140" s="114">
        <f t="shared" si="28"/>
        <v>1</v>
      </c>
      <c r="U140" s="114">
        <f t="shared" si="36"/>
        <v>45</v>
      </c>
      <c r="V140" s="114">
        <f t="shared" si="29"/>
        <v>45</v>
      </c>
    </row>
    <row r="141" spans="1:22" ht="56" x14ac:dyDescent="0.3">
      <c r="A141" s="10" t="str">
        <f>Questions!$A141</f>
        <v>DCTR-07</v>
      </c>
      <c r="B141" s="10" t="str">
        <f t="shared" si="30"/>
        <v>DCTR</v>
      </c>
      <c r="C141" s="10" t="str">
        <f>VLOOKUP($A141,Questions!$A$3:$L$333,2,0)&amp;""</f>
        <v>Are your primary and secondary data centers geographically diverse?</v>
      </c>
      <c r="D141" s="10" t="str">
        <f>VLOOKUP($A141,Questions!$A$3:$L$333,11,0)&amp;""</f>
        <v/>
      </c>
      <c r="E141" s="10" t="str">
        <f>VLOOKUP($A141,Questions!$A$3:$L$333,12,0)&amp;""</f>
        <v>Infrastructure</v>
      </c>
      <c r="F141" s="10" t="str">
        <f>VLOOKUP($A141,'Institution Evaluation'!$A$56:$K$346,3,0)&amp;""</f>
        <v>Yes</v>
      </c>
      <c r="G141" s="10" t="str">
        <f>VLOOKUP($A141,'Institution Evaluation'!$A$56:$K$346,7,0)&amp;""</f>
        <v>Yes</v>
      </c>
      <c r="H141" s="10" t="str">
        <f>VLOOKUP($A141,'Institution Evaluation'!$A$56:$K$346,8,0)&amp;""</f>
        <v/>
      </c>
      <c r="I141" s="10" t="str">
        <f>VLOOKUP($A141,'Institution Evaluation'!$A$56:$K$346,9,0)&amp;""</f>
        <v>Standard Importance</v>
      </c>
      <c r="J141" s="10" t="str">
        <f>VLOOKUP($A141,'Institution Evaluation'!$A$56:$K$346,10,0)&amp;""</f>
        <v/>
      </c>
      <c r="K141" s="10">
        <f t="shared" si="31"/>
        <v>10</v>
      </c>
      <c r="L141" s="114">
        <f>IF(OR($E141="Not Scored",$F141=""),"N/A",IF(AND($D141='Auto Responses'!$J$27,$H141=""),"N/A",IF(AND($D141='Auto Responses'!$J$27,$H141='Auto Responses'!$J$7),1,IF(AND($D141='Auto Responses'!$J$27,$H141='Auto Responses'!$J$8),0,IF(OR($F141=$G141,$H141='Auto Responses'!$J$7),1,0)))))</f>
        <v>1</v>
      </c>
      <c r="M141" s="10" t="str">
        <f>VLOOKUP($A141,'Institution Evaluation'!$A$56:$K$346,10,0)&amp;""</f>
        <v/>
      </c>
      <c r="N141" s="10">
        <f t="shared" si="32"/>
        <v>0</v>
      </c>
      <c r="O141" s="114">
        <f t="shared" si="37"/>
        <v>10</v>
      </c>
      <c r="P141" s="114">
        <f t="shared" si="34"/>
        <v>10</v>
      </c>
      <c r="Q141" s="114">
        <f t="shared" si="26"/>
        <v>0</v>
      </c>
      <c r="R141" s="114">
        <f t="shared" si="35"/>
        <v>0</v>
      </c>
      <c r="S141" s="114">
        <f t="shared" si="27"/>
        <v>0</v>
      </c>
      <c r="T141" s="114">
        <f t="shared" si="28"/>
        <v>0</v>
      </c>
      <c r="U141" s="114">
        <f t="shared" si="36"/>
        <v>45</v>
      </c>
      <c r="V141" s="114">
        <f t="shared" si="29"/>
        <v>0</v>
      </c>
    </row>
    <row r="142" spans="1:22" ht="56" x14ac:dyDescent="0.3">
      <c r="A142" s="10" t="str">
        <f>Questions!$A142</f>
        <v>DCTR-08</v>
      </c>
      <c r="B142" s="10" t="str">
        <f t="shared" si="30"/>
        <v>DCTR</v>
      </c>
      <c r="C142" s="10" t="str">
        <f>VLOOKUP($A142,Questions!$A$3:$L$333,2,0)&amp;""</f>
        <v>Is the service hosted in a high-availability environment?</v>
      </c>
      <c r="D142" s="10" t="str">
        <f>VLOOKUP($A142,Questions!$A$3:$L$333,11,0)&amp;""</f>
        <v/>
      </c>
      <c r="E142" s="10" t="str">
        <f>VLOOKUP($A142,Questions!$A$3:$L$333,12,0)&amp;""</f>
        <v>Infrastructure</v>
      </c>
      <c r="F142" s="10" t="str">
        <f>VLOOKUP($A142,'Institution Evaluation'!$A$56:$K$346,3,0)&amp;""</f>
        <v>Yes</v>
      </c>
      <c r="G142" s="10" t="str">
        <f>VLOOKUP($A142,'Institution Evaluation'!$A$56:$K$346,7,0)&amp;""</f>
        <v>Yes</v>
      </c>
      <c r="H142" s="10" t="str">
        <f>VLOOKUP($A142,'Institution Evaluation'!$A$56:$K$346,8,0)&amp;""</f>
        <v/>
      </c>
      <c r="I142" s="10" t="str">
        <f>VLOOKUP($A142,'Institution Evaluation'!$A$56:$K$346,9,0)&amp;""</f>
        <v>Standard Importance</v>
      </c>
      <c r="J142" s="10" t="str">
        <f>VLOOKUP($A142,'Institution Evaluation'!$A$56:$K$346,10,0)&amp;""</f>
        <v/>
      </c>
      <c r="K142" s="10">
        <f t="shared" si="31"/>
        <v>10</v>
      </c>
      <c r="L142" s="114">
        <f>IF(OR($E142="Not Scored",$F142=""),"N/A",IF(AND($D142='Auto Responses'!$J$27,$H142=""),"N/A",IF(AND($D142='Auto Responses'!$J$27,$H142='Auto Responses'!$J$7),1,IF(AND($D142='Auto Responses'!$J$27,$H142='Auto Responses'!$J$8),0,IF(OR($F142=$G142,$H142='Auto Responses'!$J$7),1,0)))))</f>
        <v>1</v>
      </c>
      <c r="M142" s="10" t="str">
        <f>VLOOKUP($A142,'Institution Evaluation'!$A$56:$K$346,10,0)&amp;""</f>
        <v/>
      </c>
      <c r="N142" s="10">
        <f t="shared" si="32"/>
        <v>0</v>
      </c>
      <c r="O142" s="114">
        <f t="shared" si="37"/>
        <v>10</v>
      </c>
      <c r="P142" s="114">
        <f t="shared" si="34"/>
        <v>10</v>
      </c>
      <c r="Q142" s="114">
        <f t="shared" si="26"/>
        <v>0</v>
      </c>
      <c r="R142" s="114">
        <f t="shared" si="35"/>
        <v>0</v>
      </c>
      <c r="S142" s="114">
        <f t="shared" si="27"/>
        <v>0</v>
      </c>
      <c r="T142" s="114">
        <f t="shared" si="28"/>
        <v>0</v>
      </c>
      <c r="U142" s="114">
        <f t="shared" si="36"/>
        <v>45</v>
      </c>
      <c r="V142" s="114">
        <f t="shared" si="29"/>
        <v>0</v>
      </c>
    </row>
    <row r="143" spans="1:22" ht="56" x14ac:dyDescent="0.3">
      <c r="A143" s="10" t="str">
        <f>Questions!$A143</f>
        <v>DCTR-09</v>
      </c>
      <c r="B143" s="10" t="str">
        <f t="shared" si="30"/>
        <v>DCTR</v>
      </c>
      <c r="C143" s="10" t="str">
        <f>VLOOKUP($A143,Questions!$A$3:$L$333,2,0)&amp;""</f>
        <v>Is redundant power available for all data centers where institutional data will reside?</v>
      </c>
      <c r="D143" s="10" t="str">
        <f>VLOOKUP($A143,Questions!$A$3:$L$333,11,0)&amp;""</f>
        <v/>
      </c>
      <c r="E143" s="10" t="str">
        <f>VLOOKUP($A143,Questions!$A$3:$L$333,12,0)&amp;""</f>
        <v>Infrastructure</v>
      </c>
      <c r="F143" s="10" t="str">
        <f>VLOOKUP($A143,'Institution Evaluation'!$A$56:$K$346,3,0)&amp;""</f>
        <v/>
      </c>
      <c r="G143" s="10" t="str">
        <f>VLOOKUP($A143,'Institution Evaluation'!$A$56:$K$346,7,0)&amp;""</f>
        <v>Yes</v>
      </c>
      <c r="H143" s="10" t="str">
        <f>VLOOKUP($A143,'Institution Evaluation'!$A$56:$K$346,8,0)&amp;""</f>
        <v/>
      </c>
      <c r="I143" s="10" t="str">
        <f>VLOOKUP($A143,'Institution Evaluation'!$A$56:$K$346,9,0)&amp;""</f>
        <v>Standard Importance</v>
      </c>
      <c r="J143" s="10" t="str">
        <f>VLOOKUP($A143,'Institution Evaluation'!$A$56:$K$346,10,0)&amp;""</f>
        <v/>
      </c>
      <c r="K143" s="10">
        <f t="shared" si="31"/>
        <v>10</v>
      </c>
      <c r="L143" s="114" t="str">
        <f>IF(OR($E143="Not Scored",$F143=""),"N/A",IF(AND($D143='Auto Responses'!$J$27,$H143=""),"N/A",IF(AND($D143='Auto Responses'!$J$27,$H143='Auto Responses'!$J$7),1,IF(AND($D143='Auto Responses'!$J$27,$H143='Auto Responses'!$J$8),0,IF(OR($F143=$G143,$H143='Auto Responses'!$J$7),1,0)))))</f>
        <v>N/A</v>
      </c>
      <c r="M143" s="10" t="str">
        <f>VLOOKUP($A143,'Institution Evaluation'!$A$56:$K$346,10,0)&amp;""</f>
        <v/>
      </c>
      <c r="N143" s="10">
        <f t="shared" si="32"/>
        <v>0</v>
      </c>
      <c r="O143" s="114" t="str">
        <f t="shared" si="37"/>
        <v>N/A</v>
      </c>
      <c r="P143" s="114" t="str">
        <f t="shared" si="34"/>
        <v>N/A</v>
      </c>
      <c r="Q143" s="114">
        <f t="shared" si="26"/>
        <v>0</v>
      </c>
      <c r="R143" s="114">
        <f t="shared" si="35"/>
        <v>0</v>
      </c>
      <c r="S143" s="114">
        <f t="shared" si="27"/>
        <v>0</v>
      </c>
      <c r="T143" s="114">
        <f t="shared" si="28"/>
        <v>0</v>
      </c>
      <c r="U143" s="114">
        <f t="shared" si="36"/>
        <v>45</v>
      </c>
      <c r="V143" s="114">
        <f t="shared" si="29"/>
        <v>0</v>
      </c>
    </row>
    <row r="144" spans="1:22" ht="56" x14ac:dyDescent="0.3">
      <c r="A144" s="10" t="str">
        <f>Questions!$A144</f>
        <v>DCTR-10</v>
      </c>
      <c r="B144" s="10" t="str">
        <f t="shared" si="30"/>
        <v>DCTR</v>
      </c>
      <c r="C144" s="10" t="str">
        <f>VLOOKUP($A144,Questions!$A$3:$L$333,2,0)&amp;""</f>
        <v>Are redundant power strategies tested?*</v>
      </c>
      <c r="D144" s="10" t="str">
        <f>VLOOKUP($A144,Questions!$A$3:$L$333,11,0)&amp;""</f>
        <v/>
      </c>
      <c r="E144" s="10" t="str">
        <f>VLOOKUP($A144,Questions!$A$3:$L$333,12,0)&amp;""</f>
        <v>Infrastructure</v>
      </c>
      <c r="F144" s="10" t="str">
        <f>VLOOKUP($A144,'Institution Evaluation'!$A$56:$K$346,3,0)&amp;""</f>
        <v/>
      </c>
      <c r="G144" s="10" t="str">
        <f>VLOOKUP($A144,'Institution Evaluation'!$A$56:$K$346,7,0)&amp;""</f>
        <v>Yes</v>
      </c>
      <c r="H144" s="10" t="str">
        <f>VLOOKUP($A144,'Institution Evaluation'!$A$56:$K$346,8,0)&amp;""</f>
        <v/>
      </c>
      <c r="I144" s="10" t="str">
        <f>VLOOKUP($A144,'Institution Evaluation'!$A$56:$K$346,9,0)&amp;""</f>
        <v>Critical Importance</v>
      </c>
      <c r="J144" s="10" t="str">
        <f>VLOOKUP($A144,'Institution Evaluation'!$A$56:$K$346,10,0)&amp;""</f>
        <v/>
      </c>
      <c r="K144" s="10">
        <f t="shared" si="31"/>
        <v>20</v>
      </c>
      <c r="L144" s="114" t="str">
        <f>IF(OR($E144="Not Scored",$F144=""),"N/A",IF(AND($D144='Auto Responses'!$J$27,$H144=""),"N/A",IF(AND($D144='Auto Responses'!$J$27,$H144='Auto Responses'!$J$7),1,IF(AND($D144='Auto Responses'!$J$27,$H144='Auto Responses'!$J$8),0,IF(OR($F144=$G144,$H144='Auto Responses'!$J$7),1,0)))))</f>
        <v>N/A</v>
      </c>
      <c r="M144" s="10" t="str">
        <f>VLOOKUP($A144,'Institution Evaluation'!$A$56:$K$346,10,0)&amp;""</f>
        <v/>
      </c>
      <c r="N144" s="10">
        <f t="shared" si="32"/>
        <v>1</v>
      </c>
      <c r="O144" s="114" t="str">
        <f t="shared" si="37"/>
        <v>N/A</v>
      </c>
      <c r="P144" s="114" t="str">
        <f t="shared" si="34"/>
        <v>N/A</v>
      </c>
      <c r="Q144" s="114">
        <f t="shared" si="26"/>
        <v>0</v>
      </c>
      <c r="R144" s="114">
        <f t="shared" si="35"/>
        <v>0</v>
      </c>
      <c r="S144" s="114">
        <f t="shared" si="27"/>
        <v>0</v>
      </c>
      <c r="T144" s="114">
        <f t="shared" si="28"/>
        <v>1</v>
      </c>
      <c r="U144" s="114">
        <f t="shared" si="36"/>
        <v>46</v>
      </c>
      <c r="V144" s="114">
        <f t="shared" si="29"/>
        <v>46</v>
      </c>
    </row>
    <row r="145" spans="1:22" ht="56" x14ac:dyDescent="0.3">
      <c r="A145" s="10" t="str">
        <f>Questions!$A145</f>
        <v>DCTR-11</v>
      </c>
      <c r="B145" s="10" t="str">
        <f t="shared" si="30"/>
        <v>DCTR</v>
      </c>
      <c r="C145" s="10" t="str">
        <f>VLOOKUP($A145,Questions!$A$3:$L$333,2,0)&amp;""</f>
        <v>Does the center where the data will reside have cooling and fire-suppression systems that are active and regularly tested?</v>
      </c>
      <c r="D145" s="10" t="str">
        <f>VLOOKUP($A145,Questions!$A$3:$L$333,11,0)&amp;""</f>
        <v/>
      </c>
      <c r="E145" s="10" t="str">
        <f>VLOOKUP($A145,Questions!$A$3:$L$333,12,0)&amp;""</f>
        <v>Infrastructure</v>
      </c>
      <c r="F145" s="10" t="str">
        <f>VLOOKUP($A145,'Institution Evaluation'!$A$56:$K$346,3,0)&amp;""</f>
        <v/>
      </c>
      <c r="G145" s="10" t="str">
        <f>VLOOKUP($A145,'Institution Evaluation'!$A$56:$K$346,7,0)&amp;""</f>
        <v>Yes</v>
      </c>
      <c r="H145" s="10" t="str">
        <f>VLOOKUP($A145,'Institution Evaluation'!$A$56:$K$346,8,0)&amp;""</f>
        <v/>
      </c>
      <c r="I145" s="10" t="str">
        <f>VLOOKUP($A145,'Institution Evaluation'!$A$56:$K$346,9,0)&amp;""</f>
        <v>Standard Importance</v>
      </c>
      <c r="J145" s="10" t="str">
        <f>VLOOKUP($A145,'Institution Evaluation'!$A$56:$K$346,10,0)&amp;""</f>
        <v/>
      </c>
      <c r="K145" s="10">
        <f t="shared" si="31"/>
        <v>10</v>
      </c>
      <c r="L145" s="114" t="str">
        <f>IF(OR($E145="Not Scored",$F145=""),"N/A",IF(AND($D145='Auto Responses'!$J$27,$H145=""),"N/A",IF(AND($D145='Auto Responses'!$J$27,$H145='Auto Responses'!$J$7),1,IF(AND($D145='Auto Responses'!$J$27,$H145='Auto Responses'!$J$8),0,IF(OR($F145=$G145,$H145='Auto Responses'!$J$7),1,0)))))</f>
        <v>N/A</v>
      </c>
      <c r="M145" s="10" t="str">
        <f>VLOOKUP($A145,'Institution Evaluation'!$A$56:$K$346,10,0)&amp;""</f>
        <v/>
      </c>
      <c r="N145" s="10">
        <f t="shared" si="32"/>
        <v>0</v>
      </c>
      <c r="O145" s="114" t="str">
        <f t="shared" si="37"/>
        <v>N/A</v>
      </c>
      <c r="P145" s="114" t="str">
        <f t="shared" si="34"/>
        <v>N/A</v>
      </c>
      <c r="Q145" s="114">
        <f t="shared" si="26"/>
        <v>0</v>
      </c>
      <c r="R145" s="114">
        <f t="shared" si="35"/>
        <v>0</v>
      </c>
      <c r="S145" s="114">
        <f t="shared" si="27"/>
        <v>0</v>
      </c>
      <c r="T145" s="114">
        <f t="shared" si="28"/>
        <v>0</v>
      </c>
      <c r="U145" s="114">
        <f t="shared" si="36"/>
        <v>46</v>
      </c>
      <c r="V145" s="114">
        <f t="shared" si="29"/>
        <v>0</v>
      </c>
    </row>
    <row r="146" spans="1:22" ht="56" x14ac:dyDescent="0.3">
      <c r="A146" s="10" t="str">
        <f>Questions!$A146</f>
        <v>DCTR-12</v>
      </c>
      <c r="B146" s="10" t="str">
        <f t="shared" si="30"/>
        <v>DCTR</v>
      </c>
      <c r="C146" s="10" t="str">
        <f>VLOOKUP($A146,Questions!$A$3:$L$333,2,0)&amp;""</f>
        <v>Do you have Internet Service Provider (ISP) redundancy?</v>
      </c>
      <c r="D146" s="10" t="str">
        <f>VLOOKUP($A146,Questions!$A$3:$L$333,11,0)&amp;""</f>
        <v/>
      </c>
      <c r="E146" s="10" t="str">
        <f>VLOOKUP($A146,Questions!$A$3:$L$333,12,0)&amp;""</f>
        <v>Infrastructure</v>
      </c>
      <c r="F146" s="10" t="str">
        <f>VLOOKUP($A146,'Institution Evaluation'!$A$56:$K$346,3,0)&amp;""</f>
        <v/>
      </c>
      <c r="G146" s="10" t="str">
        <f>VLOOKUP($A146,'Institution Evaluation'!$A$56:$K$346,7,0)&amp;""</f>
        <v>Yes</v>
      </c>
      <c r="H146" s="10" t="str">
        <f>VLOOKUP($A146,'Institution Evaluation'!$A$56:$K$346,8,0)&amp;""</f>
        <v/>
      </c>
      <c r="I146" s="10" t="str">
        <f>VLOOKUP($A146,'Institution Evaluation'!$A$56:$K$346,9,0)&amp;""</f>
        <v>Standard Importance</v>
      </c>
      <c r="J146" s="10" t="str">
        <f>VLOOKUP($A146,'Institution Evaluation'!$A$56:$K$346,10,0)&amp;""</f>
        <v/>
      </c>
      <c r="K146" s="10">
        <f t="shared" si="31"/>
        <v>10</v>
      </c>
      <c r="L146" s="114" t="str">
        <f>IF(OR($E146="Not Scored",$F146=""),"N/A",IF(AND($D146='Auto Responses'!$J$27,$H146=""),"N/A",IF(AND($D146='Auto Responses'!$J$27,$H146='Auto Responses'!$J$7),1,IF(AND($D146='Auto Responses'!$J$27,$H146='Auto Responses'!$J$8),0,IF(OR($F146=$G146,$H146='Auto Responses'!$J$7),1,0)))))</f>
        <v>N/A</v>
      </c>
      <c r="M146" s="10" t="str">
        <f>VLOOKUP($A146,'Institution Evaluation'!$A$56:$K$346,10,0)&amp;""</f>
        <v/>
      </c>
      <c r="N146" s="10">
        <f t="shared" si="32"/>
        <v>0</v>
      </c>
      <c r="O146" s="114" t="str">
        <f t="shared" si="37"/>
        <v>N/A</v>
      </c>
      <c r="P146" s="114" t="str">
        <f t="shared" si="34"/>
        <v>N/A</v>
      </c>
      <c r="Q146" s="114">
        <f t="shared" si="26"/>
        <v>0</v>
      </c>
      <c r="R146" s="114">
        <f t="shared" si="35"/>
        <v>0</v>
      </c>
      <c r="S146" s="114">
        <f t="shared" si="27"/>
        <v>0</v>
      </c>
      <c r="T146" s="114">
        <f t="shared" si="28"/>
        <v>0</v>
      </c>
      <c r="U146" s="114">
        <f t="shared" si="36"/>
        <v>46</v>
      </c>
      <c r="V146" s="114">
        <f t="shared" si="29"/>
        <v>0</v>
      </c>
    </row>
    <row r="147" spans="1:22" ht="56" x14ac:dyDescent="0.3">
      <c r="A147" s="10" t="str">
        <f>Questions!$A147</f>
        <v>DCTR-13</v>
      </c>
      <c r="B147" s="10" t="str">
        <f t="shared" si="30"/>
        <v>DCTR</v>
      </c>
      <c r="C147" s="10" t="str">
        <f>VLOOKUP($A147,Questions!$A$3:$L$333,2,0)&amp;""</f>
        <v>Does every data center where the institution's data will reside have multiple telephone company or network provider entrances to the facility?</v>
      </c>
      <c r="D147" s="10" t="str">
        <f>VLOOKUP($A147,Questions!$A$3:$L$333,11,0)&amp;""</f>
        <v/>
      </c>
      <c r="E147" s="10" t="str">
        <f>VLOOKUP($A147,Questions!$A$3:$L$333,12,0)&amp;""</f>
        <v>Infrastructure</v>
      </c>
      <c r="F147" s="10" t="str">
        <f>VLOOKUP($A147,'Institution Evaluation'!$A$56:$K$346,3,0)&amp;""</f>
        <v/>
      </c>
      <c r="G147" s="10" t="str">
        <f>VLOOKUP($A147,'Institution Evaluation'!$A$56:$K$346,7,0)&amp;""</f>
        <v>Yes</v>
      </c>
      <c r="H147" s="10" t="str">
        <f>VLOOKUP($A147,'Institution Evaluation'!$A$56:$K$346,8,0)&amp;""</f>
        <v/>
      </c>
      <c r="I147" s="10" t="str">
        <f>VLOOKUP($A147,'Institution Evaluation'!$A$56:$K$346,9,0)&amp;""</f>
        <v>Standard Importance</v>
      </c>
      <c r="J147" s="10" t="str">
        <f>VLOOKUP($A147,'Institution Evaluation'!$A$56:$K$346,10,0)&amp;""</f>
        <v/>
      </c>
      <c r="K147" s="10">
        <f t="shared" si="31"/>
        <v>10</v>
      </c>
      <c r="L147" s="114" t="str">
        <f>IF(OR($E147="Not Scored",$F147=""),"N/A",IF(AND($D147='Auto Responses'!$J$27,$H147=""),"N/A",IF(AND($D147='Auto Responses'!$J$27,$H147='Auto Responses'!$J$7),1,IF(AND($D147='Auto Responses'!$J$27,$H147='Auto Responses'!$J$8),0,IF(OR($F147=$G147,$H147='Auto Responses'!$J$7),1,0)))))</f>
        <v>N/A</v>
      </c>
      <c r="M147" s="10" t="str">
        <f>VLOOKUP($A147,'Institution Evaluation'!$A$56:$K$346,10,0)&amp;""</f>
        <v/>
      </c>
      <c r="N147" s="10">
        <f t="shared" si="32"/>
        <v>0</v>
      </c>
      <c r="O147" s="114" t="str">
        <f t="shared" si="37"/>
        <v>N/A</v>
      </c>
      <c r="P147" s="114" t="str">
        <f t="shared" si="34"/>
        <v>N/A</v>
      </c>
      <c r="Q147" s="114">
        <f t="shared" si="26"/>
        <v>0</v>
      </c>
      <c r="R147" s="114">
        <f t="shared" si="35"/>
        <v>0</v>
      </c>
      <c r="S147" s="114">
        <f t="shared" si="27"/>
        <v>0</v>
      </c>
      <c r="T147" s="114">
        <f t="shared" si="28"/>
        <v>0</v>
      </c>
      <c r="U147" s="114">
        <f t="shared" si="36"/>
        <v>46</v>
      </c>
      <c r="V147" s="114">
        <f t="shared" si="29"/>
        <v>0</v>
      </c>
    </row>
    <row r="148" spans="1:22" ht="56" x14ac:dyDescent="0.3">
      <c r="A148" s="10" t="str">
        <f>Questions!$A148</f>
        <v>DCTR-14</v>
      </c>
      <c r="B148" s="10" t="str">
        <f t="shared" si="30"/>
        <v>DCTR</v>
      </c>
      <c r="C148" s="10" t="str">
        <f>VLOOKUP($A148,Questions!$A$3:$L$333,2,0)&amp;""</f>
        <v>Do you require multifactor authentication for all administrative accounts in your environment?</v>
      </c>
      <c r="D148" s="10" t="str">
        <f>VLOOKUP($A148,Questions!$A$3:$L$333,11,0)&amp;""</f>
        <v/>
      </c>
      <c r="E148" s="10" t="str">
        <f>VLOOKUP($A148,Questions!$A$3:$L$333,12,0)&amp;""</f>
        <v>Infrastructure</v>
      </c>
      <c r="F148" s="10" t="str">
        <f>VLOOKUP($A148,'Institution Evaluation'!$A$56:$K$346,3,0)&amp;""</f>
        <v>Yes</v>
      </c>
      <c r="G148" s="10" t="str">
        <f>VLOOKUP($A148,'Institution Evaluation'!$A$56:$K$346,7,0)&amp;""</f>
        <v>Yes</v>
      </c>
      <c r="H148" s="10" t="str">
        <f>VLOOKUP($A148,'Institution Evaluation'!$A$56:$K$346,8,0)&amp;""</f>
        <v/>
      </c>
      <c r="I148" s="10" t="str">
        <f>VLOOKUP($A148,'Institution Evaluation'!$A$56:$K$346,9,0)&amp;""</f>
        <v>Standard Importance</v>
      </c>
      <c r="J148" s="10" t="str">
        <f>VLOOKUP($A148,'Institution Evaluation'!$A$56:$K$346,10,0)&amp;""</f>
        <v/>
      </c>
      <c r="K148" s="10">
        <f t="shared" si="31"/>
        <v>10</v>
      </c>
      <c r="L148" s="114">
        <f>IF(OR($E148="Not Scored",$F148=""),"N/A",IF(AND($D148='Auto Responses'!$J$27,$H148=""),"N/A",IF(AND($D148='Auto Responses'!$J$27,$H148='Auto Responses'!$J$7),1,IF(AND($D148='Auto Responses'!$J$27,$H148='Auto Responses'!$J$8),0,IF(OR($F148=$G148,$H148='Auto Responses'!$J$7),1,0)))))</f>
        <v>1</v>
      </c>
      <c r="M148" s="10" t="str">
        <f>VLOOKUP($A148,'Institution Evaluation'!$A$56:$K$346,10,0)&amp;""</f>
        <v/>
      </c>
      <c r="N148" s="10">
        <f t="shared" si="32"/>
        <v>0</v>
      </c>
      <c r="O148" s="114">
        <f t="shared" si="37"/>
        <v>10</v>
      </c>
      <c r="P148" s="114">
        <f t="shared" si="34"/>
        <v>10</v>
      </c>
      <c r="Q148" s="114">
        <f t="shared" si="26"/>
        <v>0</v>
      </c>
      <c r="R148" s="114">
        <f t="shared" si="35"/>
        <v>0</v>
      </c>
      <c r="S148" s="114">
        <f t="shared" si="27"/>
        <v>0</v>
      </c>
      <c r="T148" s="114">
        <f t="shared" si="28"/>
        <v>0</v>
      </c>
      <c r="U148" s="114">
        <f t="shared" si="36"/>
        <v>46</v>
      </c>
      <c r="V148" s="114">
        <f t="shared" si="29"/>
        <v>0</v>
      </c>
    </row>
    <row r="149" spans="1:22" ht="56" x14ac:dyDescent="0.3">
      <c r="A149" s="10" t="str">
        <f>Questions!$A149</f>
        <v>DCTR-15</v>
      </c>
      <c r="B149" s="10" t="str">
        <f t="shared" si="30"/>
        <v>DCTR</v>
      </c>
      <c r="C149" s="10" t="str">
        <f>VLOOKUP($A149,Questions!$A$3:$L$333,2,0)&amp;""</f>
        <v>Are you using your cloud provider's available hardening tools or pre-hardened images?</v>
      </c>
      <c r="D149" s="10" t="str">
        <f>VLOOKUP($A149,Questions!$A$3:$L$333,11,0)&amp;""</f>
        <v/>
      </c>
      <c r="E149" s="10" t="str">
        <f>VLOOKUP($A149,Questions!$A$3:$L$333,12,0)&amp;""</f>
        <v>Infrastructure</v>
      </c>
      <c r="F149" s="10" t="str">
        <f>VLOOKUP($A149,'Institution Evaluation'!$A$56:$K$346,3,0)&amp;""</f>
        <v>Yes</v>
      </c>
      <c r="G149" s="10" t="str">
        <f>VLOOKUP($A149,'Institution Evaluation'!$A$56:$K$346,7,0)&amp;""</f>
        <v>Yes</v>
      </c>
      <c r="H149" s="10" t="str">
        <f>VLOOKUP($A149,'Institution Evaluation'!$A$56:$K$346,8,0)&amp;""</f>
        <v/>
      </c>
      <c r="I149" s="10" t="str">
        <f>VLOOKUP($A149,'Institution Evaluation'!$A$56:$K$346,9,0)&amp;""</f>
        <v>Standard Importance</v>
      </c>
      <c r="J149" s="10" t="str">
        <f>VLOOKUP($A149,'Institution Evaluation'!$A$56:$K$346,10,0)&amp;""</f>
        <v/>
      </c>
      <c r="K149" s="10">
        <f t="shared" si="31"/>
        <v>10</v>
      </c>
      <c r="L149" s="114">
        <f>IF(OR($E149="Not Scored",$F149=""),"N/A",IF(AND($D149='Auto Responses'!$J$27,$H149=""),"N/A",IF(AND($D149='Auto Responses'!$J$27,$H149='Auto Responses'!$J$7),1,IF(AND($D149='Auto Responses'!$J$27,$H149='Auto Responses'!$J$8),0,IF(OR($F149=$G149,$H149='Auto Responses'!$J$7),1,0)))))</f>
        <v>1</v>
      </c>
      <c r="M149" s="10" t="str">
        <f>VLOOKUP($A149,'Institution Evaluation'!$A$56:$K$346,10,0)&amp;""</f>
        <v/>
      </c>
      <c r="N149" s="10">
        <f t="shared" si="32"/>
        <v>0</v>
      </c>
      <c r="O149" s="114">
        <f t="shared" si="37"/>
        <v>10</v>
      </c>
      <c r="P149" s="114">
        <f t="shared" si="34"/>
        <v>10</v>
      </c>
      <c r="Q149" s="114">
        <f t="shared" si="26"/>
        <v>0</v>
      </c>
      <c r="R149" s="114">
        <f t="shared" si="35"/>
        <v>0</v>
      </c>
      <c r="S149" s="114">
        <f t="shared" si="27"/>
        <v>0</v>
      </c>
      <c r="T149" s="114">
        <f t="shared" si="28"/>
        <v>0</v>
      </c>
      <c r="U149" s="114">
        <f t="shared" si="36"/>
        <v>46</v>
      </c>
      <c r="V149" s="114">
        <f t="shared" si="29"/>
        <v>0</v>
      </c>
    </row>
    <row r="150" spans="1:22" ht="56" x14ac:dyDescent="0.3">
      <c r="A150" s="10" t="str">
        <f>Questions!$A150</f>
        <v>DCTR-16</v>
      </c>
      <c r="B150" s="10" t="str">
        <f t="shared" si="30"/>
        <v>DCTR</v>
      </c>
      <c r="C150" s="10" t="str">
        <f>VLOOKUP($A150,Questions!$A$3:$L$333,2,0)&amp;""</f>
        <v>Does your cloud solution provider have access to your encryption keys?</v>
      </c>
      <c r="D150" s="10" t="str">
        <f>VLOOKUP($A150,Questions!$A$3:$L$333,11,0)&amp;""</f>
        <v/>
      </c>
      <c r="E150" s="10" t="str">
        <f>VLOOKUP($A150,Questions!$A$3:$L$333,12,0)&amp;""</f>
        <v>Infrastructure</v>
      </c>
      <c r="F150" s="10" t="str">
        <f>VLOOKUP($A150,'Institution Evaluation'!$A$56:$K$346,3,0)&amp;""</f>
        <v>Yes</v>
      </c>
      <c r="G150" s="10" t="str">
        <f>VLOOKUP($A150,'Institution Evaluation'!$A$56:$K$346,7,0)&amp;""</f>
        <v>No</v>
      </c>
      <c r="H150" s="10" t="str">
        <f>VLOOKUP($A150,'Institution Evaluation'!$A$56:$K$346,8,0)&amp;""</f>
        <v/>
      </c>
      <c r="I150" s="10" t="str">
        <f>VLOOKUP($A150,'Institution Evaluation'!$A$56:$K$346,9,0)&amp;""</f>
        <v>Standard Importance</v>
      </c>
      <c r="J150" s="10" t="str">
        <f>VLOOKUP($A150,'Institution Evaluation'!$A$56:$K$346,10,0)&amp;""</f>
        <v/>
      </c>
      <c r="K150" s="10">
        <f t="shared" si="31"/>
        <v>10</v>
      </c>
      <c r="L150" s="114">
        <f>IF(OR($E150="Not Scored",$F150=""),"N/A",IF(AND($D150='Auto Responses'!$J$27,$H150=""),"N/A",IF(AND($D150='Auto Responses'!$J$27,$H150='Auto Responses'!$J$7),1,IF(AND($D150='Auto Responses'!$J$27,$H150='Auto Responses'!$J$8),0,IF(OR($F150=$G150,$H150='Auto Responses'!$J$7),1,0)))))</f>
        <v>0</v>
      </c>
      <c r="M150" s="10" t="str">
        <f>VLOOKUP($A150,'Institution Evaluation'!$A$56:$K$346,10,0)&amp;""</f>
        <v/>
      </c>
      <c r="N150" s="10">
        <f t="shared" si="32"/>
        <v>0</v>
      </c>
      <c r="O150" s="114">
        <f t="shared" si="37"/>
        <v>10</v>
      </c>
      <c r="P150" s="114">
        <f t="shared" si="34"/>
        <v>0</v>
      </c>
      <c r="Q150" s="114">
        <f t="shared" si="26"/>
        <v>0</v>
      </c>
      <c r="R150" s="114">
        <f t="shared" si="35"/>
        <v>0</v>
      </c>
      <c r="S150" s="114">
        <f t="shared" si="27"/>
        <v>0</v>
      </c>
      <c r="T150" s="114">
        <f t="shared" si="28"/>
        <v>0</v>
      </c>
      <c r="U150" s="114">
        <f t="shared" si="36"/>
        <v>46</v>
      </c>
      <c r="V150" s="114">
        <f t="shared" si="29"/>
        <v>0</v>
      </c>
    </row>
    <row r="151" spans="1:22" ht="56" x14ac:dyDescent="0.3">
      <c r="A151" s="10" t="str">
        <f>Questions!$A151</f>
        <v>FIDP-01</v>
      </c>
      <c r="B151" s="10" t="str">
        <f t="shared" si="30"/>
        <v>FIDP</v>
      </c>
      <c r="C151" s="10" t="str">
        <f>VLOOKUP($A151,Questions!$A$3:$L$333,2,0)&amp;""</f>
        <v>Are you utilizing a stateful packet inspection (SPI) firewall?*</v>
      </c>
      <c r="D151" s="10" t="str">
        <f>VLOOKUP($A151,Questions!$A$3:$L$333,11,0)&amp;""</f>
        <v/>
      </c>
      <c r="E151" s="10" t="str">
        <f>VLOOKUP($A151,Questions!$A$3:$L$333,12,0)&amp;""</f>
        <v>Infrastructure</v>
      </c>
      <c r="F151" s="10" t="str">
        <f>VLOOKUP($A151,'Institution Evaluation'!$A$56:$K$346,3,0)&amp;""</f>
        <v>Yes</v>
      </c>
      <c r="G151" s="10" t="str">
        <f>VLOOKUP($A151,'Institution Evaluation'!$A$56:$K$346,7,0)&amp;""</f>
        <v>Yes</v>
      </c>
      <c r="H151" s="10" t="str">
        <f>VLOOKUP($A151,'Institution Evaluation'!$A$56:$K$346,8,0)&amp;""</f>
        <v/>
      </c>
      <c r="I151" s="10" t="str">
        <f>VLOOKUP($A151,'Institution Evaluation'!$A$56:$K$346,9,0)&amp;""</f>
        <v>Critical Importance</v>
      </c>
      <c r="J151" s="10" t="str">
        <f>VLOOKUP($A151,'Institution Evaluation'!$A$56:$K$346,10,0)&amp;""</f>
        <v/>
      </c>
      <c r="K151" s="10">
        <f t="shared" si="31"/>
        <v>20</v>
      </c>
      <c r="L151" s="114">
        <f>IF($E151="Not Scored", "N/A",IF(AND($D151='Auto Responses'!$J$27,$H151=""),"N/A",IF(AND($D151='Auto Responses'!$J$27,$H151='Auto Responses'!$J$7),1,IF(AND($D151='Auto Responses'!$J$27,$H151='Auto Responses'!$J$8),0,IF(OR($F151=$G151,$H151='Auto Responses'!$J$7),1,0)))))</f>
        <v>1</v>
      </c>
      <c r="M151" s="10" t="str">
        <f>VLOOKUP($A151,'Institution Evaluation'!$A$56:$K$346,10,0)&amp;""</f>
        <v/>
      </c>
      <c r="N151" s="10">
        <f t="shared" si="32"/>
        <v>1</v>
      </c>
      <c r="O151" s="114">
        <f>IF(OR($F$17="No",$E151="Not Scored"),"N/A",IF($J151="",$K151,IF($J151="Minor Importance",5,IF($J151="Standard Importance",10,IF($J151="Critical Importance",20,0)))))</f>
        <v>20</v>
      </c>
      <c r="P151" s="114">
        <f t="shared" si="34"/>
        <v>20</v>
      </c>
      <c r="Q151" s="114">
        <f t="shared" si="26"/>
        <v>0</v>
      </c>
      <c r="R151" s="114">
        <f t="shared" si="35"/>
        <v>0</v>
      </c>
      <c r="S151" s="114">
        <f t="shared" si="27"/>
        <v>0</v>
      </c>
      <c r="T151" s="114">
        <f t="shared" si="28"/>
        <v>1</v>
      </c>
      <c r="U151" s="114">
        <f t="shared" si="36"/>
        <v>47</v>
      </c>
      <c r="V151" s="114">
        <f t="shared" si="29"/>
        <v>47</v>
      </c>
    </row>
    <row r="152" spans="1:22" ht="56" x14ac:dyDescent="0.3">
      <c r="A152" s="10" t="str">
        <f>Questions!$A152</f>
        <v>FIDP-02</v>
      </c>
      <c r="B152" s="10" t="str">
        <f t="shared" si="30"/>
        <v>FIDP</v>
      </c>
      <c r="C152" s="10" t="str">
        <f>VLOOKUP($A152,Questions!$A$3:$L$333,2,0)&amp;""</f>
        <v>Do you have a documented policy for firewall change requests?*</v>
      </c>
      <c r="D152" s="10" t="str">
        <f>VLOOKUP($A152,Questions!$A$3:$L$333,11,0)&amp;""</f>
        <v/>
      </c>
      <c r="E152" s="10" t="str">
        <f>VLOOKUP($A152,Questions!$A$3:$L$333,12,0)&amp;""</f>
        <v>Infrastructure</v>
      </c>
      <c r="F152" s="10" t="str">
        <f>VLOOKUP($A152,'Institution Evaluation'!$A$56:$K$346,3,0)&amp;""</f>
        <v>Yes</v>
      </c>
      <c r="G152" s="10" t="str">
        <f>VLOOKUP($A152,'Institution Evaluation'!$A$56:$K$346,7,0)&amp;""</f>
        <v>Yes</v>
      </c>
      <c r="H152" s="10" t="str">
        <f>VLOOKUP($A152,'Institution Evaluation'!$A$56:$K$346,8,0)&amp;""</f>
        <v/>
      </c>
      <c r="I152" s="10" t="str">
        <f>VLOOKUP($A152,'Institution Evaluation'!$A$56:$K$346,9,0)&amp;""</f>
        <v>Critical Importance</v>
      </c>
      <c r="J152" s="10" t="str">
        <f>VLOOKUP($A152,'Institution Evaluation'!$A$56:$K$346,10,0)&amp;""</f>
        <v/>
      </c>
      <c r="K152" s="10">
        <f t="shared" si="31"/>
        <v>20</v>
      </c>
      <c r="L152" s="114">
        <f>IF($E152="Not Scored", "N/A",IF(AND($D152='Auto Responses'!$J$27,$H152=""),"N/A",IF(AND($D152='Auto Responses'!$J$27,$H152='Auto Responses'!$J$7),1,IF(AND($D152='Auto Responses'!$J$27,$H152='Auto Responses'!$J$8),0,IF(OR($F152=$G152,$H152='Auto Responses'!$J$7),1,0)))))</f>
        <v>1</v>
      </c>
      <c r="M152" s="10" t="str">
        <f>VLOOKUP($A152,'Institution Evaluation'!$A$56:$K$346,10,0)&amp;""</f>
        <v/>
      </c>
      <c r="N152" s="10">
        <f t="shared" si="32"/>
        <v>1</v>
      </c>
      <c r="O152" s="114">
        <f t="shared" ref="O152:O161" si="38">IF(OR($F$17="No",$E152="Not Scored"),"N/A",IF($J152="",$K152,IF($J152="Minor Importance",5,IF($J152="Standard Importance",10,IF($J152="Critical Importance",20,0)))))</f>
        <v>20</v>
      </c>
      <c r="P152" s="114">
        <f t="shared" si="34"/>
        <v>20</v>
      </c>
      <c r="Q152" s="114">
        <f t="shared" si="26"/>
        <v>0</v>
      </c>
      <c r="R152" s="114">
        <f t="shared" si="35"/>
        <v>0</v>
      </c>
      <c r="S152" s="114">
        <f t="shared" si="27"/>
        <v>0</v>
      </c>
      <c r="T152" s="114">
        <f t="shared" si="28"/>
        <v>1</v>
      </c>
      <c r="U152" s="114">
        <f t="shared" si="36"/>
        <v>48</v>
      </c>
      <c r="V152" s="114">
        <f t="shared" si="29"/>
        <v>48</v>
      </c>
    </row>
    <row r="153" spans="1:22" ht="56" x14ac:dyDescent="0.3">
      <c r="A153" s="10" t="str">
        <f>Questions!$A153</f>
        <v>FIDP-03</v>
      </c>
      <c r="B153" s="10" t="str">
        <f t="shared" si="30"/>
        <v>FIDP</v>
      </c>
      <c r="C153" s="10" t="str">
        <f>VLOOKUP($A153,Questions!$A$3:$L$333,2,0)&amp;""</f>
        <v>Have you implemented an intrusion detection system (network-based)?*</v>
      </c>
      <c r="D153" s="10" t="str">
        <f>VLOOKUP($A153,Questions!$A$3:$L$333,11,0)&amp;""</f>
        <v/>
      </c>
      <c r="E153" s="10" t="str">
        <f>VLOOKUP($A153,Questions!$A$3:$L$333,12,0)&amp;""</f>
        <v>Infrastructure</v>
      </c>
      <c r="F153" s="10" t="str">
        <f>VLOOKUP($A153,'Institution Evaluation'!$A$56:$K$346,3,0)&amp;""</f>
        <v>Yes</v>
      </c>
      <c r="G153" s="10" t="str">
        <f>VLOOKUP($A153,'Institution Evaluation'!$A$56:$K$346,7,0)&amp;""</f>
        <v>Yes</v>
      </c>
      <c r="H153" s="10" t="str">
        <f>VLOOKUP($A153,'Institution Evaluation'!$A$56:$K$346,8,0)&amp;""</f>
        <v/>
      </c>
      <c r="I153" s="10" t="str">
        <f>VLOOKUP($A153,'Institution Evaluation'!$A$56:$K$346,9,0)&amp;""</f>
        <v>Critical Importance</v>
      </c>
      <c r="J153" s="10" t="str">
        <f>VLOOKUP($A153,'Institution Evaluation'!$A$56:$K$346,10,0)&amp;""</f>
        <v/>
      </c>
      <c r="K153" s="10">
        <f t="shared" si="31"/>
        <v>20</v>
      </c>
      <c r="L153" s="114">
        <f>IF($E153="Not Scored", "N/A",IF(AND($D153='Auto Responses'!$J$27,$H153=""),"N/A",IF(AND($D153='Auto Responses'!$J$27,$H153='Auto Responses'!$J$7),1,IF(AND($D153='Auto Responses'!$J$27,$H153='Auto Responses'!$J$8),0,IF(OR($F153=$G153,$H153='Auto Responses'!$J$7),1,0)))))</f>
        <v>1</v>
      </c>
      <c r="M153" s="10" t="str">
        <f>VLOOKUP($A153,'Institution Evaluation'!$A$56:$K$346,10,0)&amp;""</f>
        <v/>
      </c>
      <c r="N153" s="10">
        <f t="shared" si="32"/>
        <v>1</v>
      </c>
      <c r="O153" s="114">
        <f t="shared" si="38"/>
        <v>20</v>
      </c>
      <c r="P153" s="114">
        <f t="shared" si="34"/>
        <v>20</v>
      </c>
      <c r="Q153" s="114">
        <f t="shared" si="26"/>
        <v>0</v>
      </c>
      <c r="R153" s="114">
        <f t="shared" si="35"/>
        <v>0</v>
      </c>
      <c r="S153" s="114">
        <f t="shared" si="27"/>
        <v>0</v>
      </c>
      <c r="T153" s="114">
        <f t="shared" si="28"/>
        <v>1</v>
      </c>
      <c r="U153" s="114">
        <f t="shared" si="36"/>
        <v>49</v>
      </c>
      <c r="V153" s="114">
        <f t="shared" si="29"/>
        <v>49</v>
      </c>
    </row>
    <row r="154" spans="1:22" ht="56" x14ac:dyDescent="0.3">
      <c r="A154" s="10" t="str">
        <f>Questions!$A154</f>
        <v>FIDP-04</v>
      </c>
      <c r="B154" s="10" t="str">
        <f t="shared" si="30"/>
        <v>FIDP</v>
      </c>
      <c r="C154" s="10" t="str">
        <f>VLOOKUP($A154,Questions!$A$3:$L$333,2,0)&amp;""</f>
        <v>Do you employ host-based intrusion detection?*</v>
      </c>
      <c r="D154" s="10" t="str">
        <f>VLOOKUP($A154,Questions!$A$3:$L$333,11,0)&amp;""</f>
        <v/>
      </c>
      <c r="E154" s="10" t="str">
        <f>VLOOKUP($A154,Questions!$A$3:$L$333,12,0)&amp;""</f>
        <v>Infrastructure</v>
      </c>
      <c r="F154" s="10" t="str">
        <f>VLOOKUP($A154,'Institution Evaluation'!$A$56:$K$346,3,0)&amp;""</f>
        <v>Yes</v>
      </c>
      <c r="G154" s="10" t="str">
        <f>VLOOKUP($A154,'Institution Evaluation'!$A$56:$K$346,7,0)&amp;""</f>
        <v>Yes</v>
      </c>
      <c r="H154" s="10" t="str">
        <f>VLOOKUP($A154,'Institution Evaluation'!$A$56:$K$346,8,0)&amp;""</f>
        <v/>
      </c>
      <c r="I154" s="10" t="str">
        <f>VLOOKUP($A154,'Institution Evaluation'!$A$56:$K$346,9,0)&amp;""</f>
        <v>Critical Importance</v>
      </c>
      <c r="J154" s="10" t="str">
        <f>VLOOKUP($A154,'Institution Evaluation'!$A$56:$K$346,10,0)&amp;""</f>
        <v/>
      </c>
      <c r="K154" s="10">
        <f t="shared" si="31"/>
        <v>20</v>
      </c>
      <c r="L154" s="114">
        <f>IF($E154="Not Scored", "N/A",IF(AND($D154='Auto Responses'!$J$27,$H154=""),"N/A",IF(AND($D154='Auto Responses'!$J$27,$H154='Auto Responses'!$J$7),1,IF(AND($D154='Auto Responses'!$J$27,$H154='Auto Responses'!$J$8),0,IF(OR($F154=$G154,$H154='Auto Responses'!$J$7),1,0)))))</f>
        <v>1</v>
      </c>
      <c r="M154" s="10" t="str">
        <f>VLOOKUP($A154,'Institution Evaluation'!$A$56:$K$346,10,0)&amp;""</f>
        <v/>
      </c>
      <c r="N154" s="10">
        <f t="shared" si="32"/>
        <v>1</v>
      </c>
      <c r="O154" s="114">
        <f>IF(OR($F$17="No",$E154="Not Scored",$F154="N/A"),"N/A",IF($J154="",$K154,IF($J154="Minor Importance",5,IF($J154="Standard Importance",10,IF($J154="Critical Importance",20,0)))))</f>
        <v>20</v>
      </c>
      <c r="P154" s="114">
        <f t="shared" si="34"/>
        <v>20</v>
      </c>
      <c r="Q154" s="114">
        <f t="shared" si="26"/>
        <v>0</v>
      </c>
      <c r="R154" s="114">
        <f t="shared" si="35"/>
        <v>0</v>
      </c>
      <c r="S154" s="114">
        <f t="shared" si="27"/>
        <v>0</v>
      </c>
      <c r="T154" s="114">
        <f t="shared" si="28"/>
        <v>1</v>
      </c>
      <c r="U154" s="114">
        <f t="shared" si="36"/>
        <v>50</v>
      </c>
      <c r="V154" s="114">
        <f t="shared" si="29"/>
        <v>50</v>
      </c>
    </row>
    <row r="155" spans="1:22" ht="56" x14ac:dyDescent="0.3">
      <c r="A155" s="10" t="str">
        <f>Questions!$A155</f>
        <v>FIDP-05</v>
      </c>
      <c r="B155" s="10" t="str">
        <f t="shared" si="30"/>
        <v>FIDP</v>
      </c>
      <c r="C155" s="10" t="str">
        <f>VLOOKUP($A155,Questions!$A$3:$L$333,2,0)&amp;""</f>
        <v>Are audit logs available for all changes to the network, firewall, IDS, and IPS systems?*</v>
      </c>
      <c r="D155" s="10" t="str">
        <f>VLOOKUP($A155,Questions!$A$3:$L$333,11,0)&amp;""</f>
        <v/>
      </c>
      <c r="E155" s="10" t="str">
        <f>VLOOKUP($A155,Questions!$A$3:$L$333,12,0)&amp;""</f>
        <v>Infrastructure</v>
      </c>
      <c r="F155" s="10" t="str">
        <f>VLOOKUP($A155,'Institution Evaluation'!$A$56:$K$346,3,0)&amp;""</f>
        <v>Yes</v>
      </c>
      <c r="G155" s="10" t="str">
        <f>VLOOKUP($A155,'Institution Evaluation'!$A$56:$K$346,7,0)&amp;""</f>
        <v>Yes</v>
      </c>
      <c r="H155" s="10" t="str">
        <f>VLOOKUP($A155,'Institution Evaluation'!$A$56:$K$346,8,0)&amp;""</f>
        <v/>
      </c>
      <c r="I155" s="10" t="str">
        <f>VLOOKUP($A155,'Institution Evaluation'!$A$56:$K$346,9,0)&amp;""</f>
        <v>Critical Importance</v>
      </c>
      <c r="J155" s="10" t="str">
        <f>VLOOKUP($A155,'Institution Evaluation'!$A$56:$K$346,10,0)&amp;""</f>
        <v/>
      </c>
      <c r="K155" s="10">
        <f t="shared" si="31"/>
        <v>20</v>
      </c>
      <c r="L155" s="114">
        <f>IF($E155="Not Scored", "N/A",IF(AND($D155='Auto Responses'!$J$27,$H155=""),"N/A",IF(AND($D155='Auto Responses'!$J$27,$H155='Auto Responses'!$J$7),1,IF(AND($D155='Auto Responses'!$J$27,$H155='Auto Responses'!$J$8),0,IF(OR($F155=$G155,$H155='Auto Responses'!$J$7),1,0)))))</f>
        <v>1</v>
      </c>
      <c r="M155" s="10" t="str">
        <f>VLOOKUP($A155,'Institution Evaluation'!$A$56:$K$346,10,0)&amp;""</f>
        <v/>
      </c>
      <c r="N155" s="10">
        <f t="shared" si="32"/>
        <v>1</v>
      </c>
      <c r="O155" s="114">
        <f t="shared" si="38"/>
        <v>20</v>
      </c>
      <c r="P155" s="114">
        <f t="shared" si="34"/>
        <v>20</v>
      </c>
      <c r="Q155" s="114">
        <f t="shared" si="26"/>
        <v>0</v>
      </c>
      <c r="R155" s="114">
        <f t="shared" si="35"/>
        <v>0</v>
      </c>
      <c r="S155" s="114">
        <f t="shared" si="27"/>
        <v>0</v>
      </c>
      <c r="T155" s="114">
        <f t="shared" si="28"/>
        <v>1</v>
      </c>
      <c r="U155" s="114">
        <f t="shared" si="36"/>
        <v>51</v>
      </c>
      <c r="V155" s="114">
        <f t="shared" si="29"/>
        <v>51</v>
      </c>
    </row>
    <row r="156" spans="1:22" ht="56" x14ac:dyDescent="0.3">
      <c r="A156" s="10" t="str">
        <f>Questions!$A156</f>
        <v>FIDP-06</v>
      </c>
      <c r="B156" s="10" t="str">
        <f t="shared" si="30"/>
        <v>FIDP</v>
      </c>
      <c r="C156" s="10" t="str">
        <f>VLOOKUP($A156,Questions!$A$3:$L$333,2,0)&amp;""</f>
        <v>Is authority for firewall change approval documented? Please list approver names or titles in Additional Info.</v>
      </c>
      <c r="D156" s="10" t="str">
        <f>VLOOKUP($A156,Questions!$A$3:$L$333,11,0)&amp;""</f>
        <v/>
      </c>
      <c r="E156" s="10" t="str">
        <f>VLOOKUP($A156,Questions!$A$3:$L$333,12,0)&amp;""</f>
        <v>Infrastructure</v>
      </c>
      <c r="F156" s="10" t="str">
        <f>VLOOKUP($A156,'Institution Evaluation'!$A$56:$K$346,3,0)&amp;""</f>
        <v>Yes</v>
      </c>
      <c r="G156" s="10" t="str">
        <f>VLOOKUP($A156,'Institution Evaluation'!$A$56:$K$346,7,0)&amp;""</f>
        <v>Yes</v>
      </c>
      <c r="H156" s="10" t="str">
        <f>VLOOKUP($A156,'Institution Evaluation'!$A$56:$K$346,8,0)&amp;""</f>
        <v/>
      </c>
      <c r="I156" s="10" t="str">
        <f>VLOOKUP($A156,'Institution Evaluation'!$A$56:$K$346,9,0)&amp;""</f>
        <v>Standard Importance</v>
      </c>
      <c r="J156" s="10" t="str">
        <f>VLOOKUP($A156,'Institution Evaluation'!$A$56:$K$346,10,0)&amp;""</f>
        <v/>
      </c>
      <c r="K156" s="10">
        <f t="shared" si="31"/>
        <v>10</v>
      </c>
      <c r="L156" s="114">
        <f>IF($E156="Not Scored", "N/A",IF(AND($D156='Auto Responses'!$J$27,$H156=""),"N/A",IF(AND($D156='Auto Responses'!$J$27,$H156='Auto Responses'!$J$7),1,IF(AND($D156='Auto Responses'!$J$27,$H156='Auto Responses'!$J$8),0,IF(OR($F156=$G156,$H156='Auto Responses'!$J$7),1,0)))))</f>
        <v>1</v>
      </c>
      <c r="M156" s="10" t="str">
        <f>VLOOKUP($A156,'Institution Evaluation'!$A$56:$K$346,10,0)&amp;""</f>
        <v/>
      </c>
      <c r="N156" s="10">
        <f t="shared" si="32"/>
        <v>0</v>
      </c>
      <c r="O156" s="114">
        <f t="shared" si="38"/>
        <v>10</v>
      </c>
      <c r="P156" s="114">
        <f t="shared" si="34"/>
        <v>10</v>
      </c>
      <c r="Q156" s="114">
        <f t="shared" si="26"/>
        <v>0</v>
      </c>
      <c r="R156" s="114">
        <f t="shared" si="35"/>
        <v>0</v>
      </c>
      <c r="S156" s="114">
        <f t="shared" si="27"/>
        <v>0</v>
      </c>
      <c r="T156" s="114">
        <f t="shared" si="28"/>
        <v>0</v>
      </c>
      <c r="U156" s="114">
        <f t="shared" si="36"/>
        <v>51</v>
      </c>
      <c r="V156" s="114">
        <f t="shared" si="29"/>
        <v>0</v>
      </c>
    </row>
    <row r="157" spans="1:22" ht="56" x14ac:dyDescent="0.3">
      <c r="A157" s="10" t="str">
        <f>Questions!$A157</f>
        <v>FIDP-07</v>
      </c>
      <c r="B157" s="10" t="str">
        <f t="shared" si="30"/>
        <v>FIDP</v>
      </c>
      <c r="C157" s="10" t="str">
        <f>VLOOKUP($A157,Questions!$A$3:$L$333,2,0)&amp;""</f>
        <v>Have you implemented an intrusion prevention system (network-based)?</v>
      </c>
      <c r="D157" s="10" t="str">
        <f>VLOOKUP($A157,Questions!$A$3:$L$333,11,0)&amp;""</f>
        <v/>
      </c>
      <c r="E157" s="10" t="str">
        <f>VLOOKUP($A157,Questions!$A$3:$L$333,12,0)&amp;""</f>
        <v>Infrastructure</v>
      </c>
      <c r="F157" s="10" t="str">
        <f>VLOOKUP($A157,'Institution Evaluation'!$A$56:$K$346,3,0)&amp;""</f>
        <v>Yes</v>
      </c>
      <c r="G157" s="10" t="str">
        <f>VLOOKUP($A157,'Institution Evaluation'!$A$56:$K$346,7,0)&amp;""</f>
        <v>Yes</v>
      </c>
      <c r="H157" s="10" t="str">
        <f>VLOOKUP($A157,'Institution Evaluation'!$A$56:$K$346,8,0)&amp;""</f>
        <v/>
      </c>
      <c r="I157" s="10" t="str">
        <f>VLOOKUP($A157,'Institution Evaluation'!$A$56:$K$346,9,0)&amp;""</f>
        <v>Standard Importance</v>
      </c>
      <c r="J157" s="10" t="str">
        <f>VLOOKUP($A157,'Institution Evaluation'!$A$56:$K$346,10,0)&amp;""</f>
        <v/>
      </c>
      <c r="K157" s="10">
        <f t="shared" si="31"/>
        <v>10</v>
      </c>
      <c r="L157" s="114">
        <f>IF($E157="Not Scored", "N/A",IF(AND($D157='Auto Responses'!$J$27,$H157=""),"N/A",IF(AND($D157='Auto Responses'!$J$27,$H157='Auto Responses'!$J$7),1,IF(AND($D157='Auto Responses'!$J$27,$H157='Auto Responses'!$J$8),0,IF(OR($F157=$G157,$H157='Auto Responses'!$J$7),1,0)))))</f>
        <v>1</v>
      </c>
      <c r="M157" s="10" t="str">
        <f>VLOOKUP($A157,'Institution Evaluation'!$A$56:$K$346,10,0)&amp;""</f>
        <v/>
      </c>
      <c r="N157" s="10">
        <f t="shared" si="32"/>
        <v>0</v>
      </c>
      <c r="O157" s="114">
        <f t="shared" si="38"/>
        <v>10</v>
      </c>
      <c r="P157" s="114">
        <f t="shared" si="34"/>
        <v>10</v>
      </c>
      <c r="Q157" s="114">
        <f t="shared" si="26"/>
        <v>0</v>
      </c>
      <c r="R157" s="114">
        <f t="shared" si="35"/>
        <v>0</v>
      </c>
      <c r="S157" s="114">
        <f t="shared" si="27"/>
        <v>0</v>
      </c>
      <c r="T157" s="114">
        <f t="shared" si="28"/>
        <v>0</v>
      </c>
      <c r="U157" s="114">
        <f t="shared" si="36"/>
        <v>51</v>
      </c>
      <c r="V157" s="114">
        <f t="shared" si="29"/>
        <v>0</v>
      </c>
    </row>
    <row r="158" spans="1:22" ht="56" x14ac:dyDescent="0.3">
      <c r="A158" s="10" t="str">
        <f>Questions!$A158</f>
        <v>FIDP-08</v>
      </c>
      <c r="B158" s="10" t="str">
        <f t="shared" si="30"/>
        <v>FIDP</v>
      </c>
      <c r="C158" s="10" t="str">
        <f>VLOOKUP($A158,Questions!$A$3:$L$333,2,0)&amp;""</f>
        <v>Do you employ host-based intrusion prevention?</v>
      </c>
      <c r="D158" s="10" t="str">
        <f>VLOOKUP($A158,Questions!$A$3:$L$333,11,0)&amp;""</f>
        <v/>
      </c>
      <c r="E158" s="10" t="str">
        <f>VLOOKUP($A158,Questions!$A$3:$L$333,12,0)&amp;""</f>
        <v>Infrastructure</v>
      </c>
      <c r="F158" s="10" t="str">
        <f>VLOOKUP($A158,'Institution Evaluation'!$A$56:$K$346,3,0)&amp;""</f>
        <v>Yes</v>
      </c>
      <c r="G158" s="10" t="str">
        <f>VLOOKUP($A158,'Institution Evaluation'!$A$56:$K$346,7,0)&amp;""</f>
        <v>Yes</v>
      </c>
      <c r="H158" s="10" t="str">
        <f>VLOOKUP($A158,'Institution Evaluation'!$A$56:$K$346,8,0)&amp;""</f>
        <v/>
      </c>
      <c r="I158" s="10" t="str">
        <f>VLOOKUP($A158,'Institution Evaluation'!$A$56:$K$346,9,0)&amp;""</f>
        <v>Standard Importance</v>
      </c>
      <c r="J158" s="10" t="str">
        <f>VLOOKUP($A158,'Institution Evaluation'!$A$56:$K$346,10,0)&amp;""</f>
        <v/>
      </c>
      <c r="K158" s="10">
        <f t="shared" si="31"/>
        <v>10</v>
      </c>
      <c r="L158" s="114">
        <f>IF($E158="Not Scored", "N/A",IF(AND($D158='Auto Responses'!$J$27,$H158=""),"N/A",IF(AND($D158='Auto Responses'!$J$27,$H158='Auto Responses'!$J$7),1,IF(AND($D158='Auto Responses'!$J$27,$H158='Auto Responses'!$J$8),0,IF(OR($F158=$G158,$H158='Auto Responses'!$J$7),1,0)))))</f>
        <v>1</v>
      </c>
      <c r="M158" s="10" t="str">
        <f>VLOOKUP($A158,'Institution Evaluation'!$A$56:$K$346,10,0)&amp;""</f>
        <v/>
      </c>
      <c r="N158" s="10">
        <f t="shared" si="32"/>
        <v>0</v>
      </c>
      <c r="O158" s="114">
        <f>IF(OR($F$17="No",$E158="Not Scored",$F158="N/A"),"N/A",IF($J158="",$K158,IF($J158="Minor Importance",5,IF($J158="Standard Importance",10,IF($J158="Critical Importance",20,0)))))</f>
        <v>10</v>
      </c>
      <c r="P158" s="114">
        <f t="shared" si="34"/>
        <v>10</v>
      </c>
      <c r="Q158" s="114">
        <f t="shared" si="26"/>
        <v>0</v>
      </c>
      <c r="R158" s="114">
        <f t="shared" si="35"/>
        <v>0</v>
      </c>
      <c r="S158" s="114">
        <f t="shared" si="27"/>
        <v>0</v>
      </c>
      <c r="T158" s="114">
        <f t="shared" si="28"/>
        <v>0</v>
      </c>
      <c r="U158" s="114">
        <f t="shared" si="36"/>
        <v>51</v>
      </c>
      <c r="V158" s="114">
        <f t="shared" si="29"/>
        <v>0</v>
      </c>
    </row>
    <row r="159" spans="1:22" ht="56" x14ac:dyDescent="0.3">
      <c r="A159" s="10" t="str">
        <f>Questions!$A159</f>
        <v>FIDP-09</v>
      </c>
      <c r="B159" s="10" t="str">
        <f t="shared" si="30"/>
        <v>FIDP</v>
      </c>
      <c r="C159" s="10" t="str">
        <f>VLOOKUP($A159,Questions!$A$3:$L$333,2,0)&amp;""</f>
        <v>Are you employing any next-generation persistent threat (NGPT) monitoring?</v>
      </c>
      <c r="D159" s="10" t="str">
        <f>VLOOKUP($A159,Questions!$A$3:$L$333,11,0)&amp;""</f>
        <v/>
      </c>
      <c r="E159" s="10" t="str">
        <f>VLOOKUP($A159,Questions!$A$3:$L$333,12,0)&amp;""</f>
        <v>Infrastructure</v>
      </c>
      <c r="F159" s="10" t="str">
        <f>VLOOKUP($A159,'Institution Evaluation'!$A$56:$K$346,3,0)&amp;""</f>
        <v>Yes</v>
      </c>
      <c r="G159" s="10" t="str">
        <f>VLOOKUP($A159,'Institution Evaluation'!$A$56:$K$346,7,0)&amp;""</f>
        <v>Yes</v>
      </c>
      <c r="H159" s="10" t="str">
        <f>VLOOKUP($A159,'Institution Evaluation'!$A$56:$K$346,8,0)&amp;""</f>
        <v/>
      </c>
      <c r="I159" s="10" t="str">
        <f>VLOOKUP($A159,'Institution Evaluation'!$A$56:$K$346,9,0)&amp;""</f>
        <v>Standard Importance</v>
      </c>
      <c r="J159" s="10" t="str">
        <f>VLOOKUP($A159,'Institution Evaluation'!$A$56:$K$346,10,0)&amp;""</f>
        <v/>
      </c>
      <c r="K159" s="10">
        <f t="shared" si="31"/>
        <v>10</v>
      </c>
      <c r="L159" s="114">
        <f>IF($E159="Not Scored", "N/A",IF(AND($D159='Auto Responses'!$J$27,$H159=""),"N/A",IF(AND($D159='Auto Responses'!$J$27,$H159='Auto Responses'!$J$7),1,IF(AND($D159='Auto Responses'!$J$27,$H159='Auto Responses'!$J$8),0,IF(OR($F159=$G159,$H159='Auto Responses'!$J$7),1,0)))))</f>
        <v>1</v>
      </c>
      <c r="M159" s="10" t="str">
        <f>VLOOKUP($A159,'Institution Evaluation'!$A$56:$K$346,10,0)&amp;""</f>
        <v/>
      </c>
      <c r="N159" s="10">
        <f t="shared" si="32"/>
        <v>0</v>
      </c>
      <c r="O159" s="114">
        <f t="shared" si="38"/>
        <v>10</v>
      </c>
      <c r="P159" s="114">
        <f t="shared" si="34"/>
        <v>10</v>
      </c>
      <c r="Q159" s="114">
        <f t="shared" si="26"/>
        <v>0</v>
      </c>
      <c r="R159" s="114">
        <f t="shared" si="35"/>
        <v>0</v>
      </c>
      <c r="S159" s="114">
        <f t="shared" si="27"/>
        <v>0</v>
      </c>
      <c r="T159" s="114">
        <f t="shared" si="28"/>
        <v>0</v>
      </c>
      <c r="U159" s="114">
        <f t="shared" si="36"/>
        <v>51</v>
      </c>
      <c r="V159" s="114">
        <f t="shared" si="29"/>
        <v>0</v>
      </c>
    </row>
    <row r="160" spans="1:22" ht="56" x14ac:dyDescent="0.3">
      <c r="A160" s="10" t="str">
        <f>Questions!$A160</f>
        <v>FIDP-10</v>
      </c>
      <c r="B160" s="10" t="str">
        <f t="shared" si="30"/>
        <v>FIDP</v>
      </c>
      <c r="C160" s="10" t="str">
        <f>VLOOKUP($A160,Questions!$A$3:$L$333,2,0)&amp;""</f>
        <v>Is intrusion monitoring performed internally or by a third-party service?</v>
      </c>
      <c r="D160" s="10" t="str">
        <f>VLOOKUP($A160,Questions!$A$3:$L$333,11,0)&amp;""</f>
        <v/>
      </c>
      <c r="E160" s="10" t="str">
        <f>VLOOKUP($A160,Questions!$A$3:$L$333,12,0)&amp;""</f>
        <v>Not scored</v>
      </c>
      <c r="F160" s="10" t="str">
        <f>VLOOKUP($A160,'Institution Evaluation'!$A$56:$K$346,3,0)&amp;""</f>
        <v>Yes</v>
      </c>
      <c r="G160" s="10" t="str">
        <f>VLOOKUP($A160,'Institution Evaluation'!$A$56:$K$346,7,0)&amp;""</f>
        <v>Not scored</v>
      </c>
      <c r="H160" s="10" t="str">
        <f>VLOOKUP($A160,'Institution Evaluation'!$A$56:$K$346,8,0)&amp;""</f>
        <v/>
      </c>
      <c r="I160" s="10" t="str">
        <f>VLOOKUP($A160,'Institution Evaluation'!$A$56:$K$346,9,0)&amp;""</f>
        <v>Standard Importance</v>
      </c>
      <c r="J160" s="10" t="str">
        <f>VLOOKUP($A160,'Institution Evaluation'!$A$56:$K$346,10,0)&amp;""</f>
        <v/>
      </c>
      <c r="K160" s="10">
        <f t="shared" si="31"/>
        <v>10</v>
      </c>
      <c r="L160" s="114" t="str">
        <f>IF($E160="Not Scored", "N/A",IF(AND($D160='Auto Responses'!$J$27,$H160=""),"N/A",IF(AND($D160='Auto Responses'!$J$27,$H160='Auto Responses'!$J$7),1,IF(AND($D160='Auto Responses'!$J$27,$H160='Auto Responses'!$J$8),0,IF(OR($F160=$G160,$H160='Auto Responses'!$J$7),1,0)))))</f>
        <v>N/A</v>
      </c>
      <c r="M160" s="10" t="str">
        <f>VLOOKUP($A160,'Institution Evaluation'!$A$56:$K$346,10,0)&amp;""</f>
        <v/>
      </c>
      <c r="N160" s="10">
        <f t="shared" si="32"/>
        <v>0</v>
      </c>
      <c r="O160" s="114" t="str">
        <f t="shared" si="38"/>
        <v>N/A</v>
      </c>
      <c r="P160" s="114" t="str">
        <f t="shared" si="34"/>
        <v>N/A</v>
      </c>
      <c r="Q160" s="114">
        <f t="shared" si="26"/>
        <v>0</v>
      </c>
      <c r="R160" s="114">
        <f t="shared" si="35"/>
        <v>0</v>
      </c>
      <c r="S160" s="114">
        <f t="shared" si="27"/>
        <v>0</v>
      </c>
      <c r="T160" s="114">
        <f t="shared" si="28"/>
        <v>0</v>
      </c>
      <c r="U160" s="114">
        <f t="shared" si="36"/>
        <v>51</v>
      </c>
      <c r="V160" s="114">
        <f t="shared" si="29"/>
        <v>0</v>
      </c>
    </row>
    <row r="161" spans="1:22" ht="56" x14ac:dyDescent="0.3">
      <c r="A161" s="10" t="str">
        <f>Questions!$A161</f>
        <v>FIDP-11</v>
      </c>
      <c r="B161" s="10" t="str">
        <f t="shared" si="30"/>
        <v>FIDP</v>
      </c>
      <c r="C161" s="10" t="str">
        <f>VLOOKUP($A161,Questions!$A$3:$L$333,2,0)&amp;""</f>
        <v>Do you monitor for intrusions on a 24 x 7 x 365 basis?</v>
      </c>
      <c r="D161" s="10" t="str">
        <f>VLOOKUP($A161,Questions!$A$3:$L$333,11,0)&amp;""</f>
        <v/>
      </c>
      <c r="E161" s="10" t="str">
        <f>VLOOKUP($A161,Questions!$A$3:$L$333,12,0)&amp;""</f>
        <v>Infrastructure</v>
      </c>
      <c r="F161" s="10" t="str">
        <f>VLOOKUP($A161,'Institution Evaluation'!$A$56:$K$346,3,0)&amp;""</f>
        <v>Yes</v>
      </c>
      <c r="G161" s="10" t="str">
        <f>VLOOKUP($A161,'Institution Evaluation'!$A$56:$K$346,7,0)&amp;""</f>
        <v>Yes</v>
      </c>
      <c r="H161" s="10" t="str">
        <f>VLOOKUP($A161,'Institution Evaluation'!$A$56:$K$346,8,0)&amp;""</f>
        <v/>
      </c>
      <c r="I161" s="10" t="str">
        <f>VLOOKUP($A161,'Institution Evaluation'!$A$56:$K$346,9,0)&amp;""</f>
        <v>Minor Importance</v>
      </c>
      <c r="J161" s="10" t="str">
        <f>VLOOKUP($A161,'Institution Evaluation'!$A$56:$K$346,10,0)&amp;""</f>
        <v/>
      </c>
      <c r="K161" s="10">
        <f t="shared" si="31"/>
        <v>5</v>
      </c>
      <c r="L161" s="114">
        <f>IF($E161="Not Scored", "N/A",IF(AND($D161='Auto Responses'!$J$27,$H161=""),"N/A",IF(AND($D161='Auto Responses'!$J$27,$H161='Auto Responses'!$J$7),1,IF(AND($D161='Auto Responses'!$J$27,$H161='Auto Responses'!$J$8),0,IF(OR($F161=$G161,$H161='Auto Responses'!$J$7),1,0)))))</f>
        <v>1</v>
      </c>
      <c r="M161" s="10" t="str">
        <f>VLOOKUP($A161,'Institution Evaluation'!$A$56:$K$346,10,0)&amp;""</f>
        <v/>
      </c>
      <c r="N161" s="10">
        <f t="shared" si="32"/>
        <v>0</v>
      </c>
      <c r="O161" s="114">
        <f t="shared" si="38"/>
        <v>5</v>
      </c>
      <c r="P161" s="114">
        <f t="shared" si="34"/>
        <v>5</v>
      </c>
      <c r="Q161" s="114">
        <f t="shared" si="26"/>
        <v>0</v>
      </c>
      <c r="R161" s="114">
        <f t="shared" si="35"/>
        <v>0</v>
      </c>
      <c r="S161" s="114">
        <f t="shared" si="27"/>
        <v>0</v>
      </c>
      <c r="T161" s="114">
        <f t="shared" si="28"/>
        <v>0</v>
      </c>
      <c r="U161" s="114">
        <f t="shared" si="36"/>
        <v>51</v>
      </c>
      <c r="V161" s="114">
        <f t="shared" si="29"/>
        <v>0</v>
      </c>
    </row>
    <row r="162" spans="1:22" ht="56" x14ac:dyDescent="0.3">
      <c r="A162" s="10" t="str">
        <f>Questions!$A162</f>
        <v>PPPR-01</v>
      </c>
      <c r="B162" s="10" t="str">
        <f t="shared" si="30"/>
        <v>PPPR</v>
      </c>
      <c r="C162" s="10" t="str">
        <f>VLOOKUP($A162,Questions!$A$3:$L$333,2,0)&amp;""</f>
        <v>Do you have a documented patch management process?*</v>
      </c>
      <c r="D162" s="10" t="str">
        <f>VLOOKUP($A162,Questions!$A$3:$L$333,11,0)&amp;""</f>
        <v/>
      </c>
      <c r="E162" s="10" t="str">
        <f>VLOOKUP($A162,Questions!$A$3:$L$333,12,0)&amp;""</f>
        <v>Organization</v>
      </c>
      <c r="F162" s="10" t="str">
        <f>VLOOKUP($A162,'Institution Evaluation'!$A$56:$K$346,3,0)&amp;""</f>
        <v>Yes</v>
      </c>
      <c r="G162" s="10" t="str">
        <f>VLOOKUP($A162,'Institution Evaluation'!$A$56:$K$346,7,0)&amp;""</f>
        <v>Yes</v>
      </c>
      <c r="H162" s="10" t="str">
        <f>VLOOKUP($A162,'Institution Evaluation'!$A$56:$K$346,8,0)&amp;""</f>
        <v/>
      </c>
      <c r="I162" s="10" t="str">
        <f>VLOOKUP($A162,'Institution Evaluation'!$A$56:$K$346,9,0)&amp;""</f>
        <v>Critical Importance</v>
      </c>
      <c r="J162" s="10" t="str">
        <f>VLOOKUP($A162,'Institution Evaluation'!$A$56:$K$346,10,0)&amp;""</f>
        <v/>
      </c>
      <c r="K162" s="10">
        <f t="shared" si="31"/>
        <v>20</v>
      </c>
      <c r="L162" s="114">
        <f>IF($E162="Not Scored", "N/A",IF(AND($D162='Auto Responses'!$J$27,$H162=""),"N/A",IF(AND($D162='Auto Responses'!$J$27,$H162='Auto Responses'!$J$7),1,IF(AND($D162='Auto Responses'!$J$27,$H162='Auto Responses'!$J$8),0,IF(OR($F162=$G162,$H162='Auto Responses'!$J$7),1,0)))))</f>
        <v>1</v>
      </c>
      <c r="M162" s="10" t="str">
        <f>VLOOKUP($A162,'Institution Evaluation'!$A$56:$K$346,10,0)&amp;""</f>
        <v/>
      </c>
      <c r="N162" s="10">
        <f t="shared" si="32"/>
        <v>1</v>
      </c>
      <c r="O162" s="114">
        <f t="shared" si="33"/>
        <v>20</v>
      </c>
      <c r="P162" s="114">
        <f t="shared" si="34"/>
        <v>20</v>
      </c>
      <c r="Q162" s="114">
        <f t="shared" si="26"/>
        <v>0</v>
      </c>
      <c r="R162" s="114">
        <f t="shared" si="35"/>
        <v>0</v>
      </c>
      <c r="S162" s="114">
        <f t="shared" si="27"/>
        <v>0</v>
      </c>
      <c r="T162" s="114">
        <f t="shared" si="28"/>
        <v>1</v>
      </c>
      <c r="U162" s="114">
        <f t="shared" si="36"/>
        <v>52</v>
      </c>
      <c r="V162" s="114">
        <f t="shared" si="29"/>
        <v>52</v>
      </c>
    </row>
    <row r="163" spans="1:22" ht="56" x14ac:dyDescent="0.3">
      <c r="A163" s="10" t="str">
        <f>Questions!$A163</f>
        <v>PPPR-02</v>
      </c>
      <c r="B163" s="10" t="str">
        <f t="shared" si="30"/>
        <v>PPPR</v>
      </c>
      <c r="C163" s="10" t="str">
        <f>VLOOKUP($A163,Questions!$A$3:$L$333,2,0)&amp;""</f>
        <v>Can your organization comply with institutional policies on privacy and data protection with regard to users of institutional systems, if required?*</v>
      </c>
      <c r="D163" s="10" t="str">
        <f>VLOOKUP($A163,Questions!$A$3:$L$333,11,0)&amp;""</f>
        <v/>
      </c>
      <c r="E163" s="10" t="str">
        <f>VLOOKUP($A163,Questions!$A$3:$L$333,12,0)&amp;""</f>
        <v>Organization</v>
      </c>
      <c r="F163" s="10" t="str">
        <f>VLOOKUP($A163,'Institution Evaluation'!$A$56:$K$346,3,0)&amp;""</f>
        <v>Yes</v>
      </c>
      <c r="G163" s="10" t="str">
        <f>VLOOKUP($A163,'Institution Evaluation'!$A$56:$K$346,7,0)&amp;""</f>
        <v>Yes</v>
      </c>
      <c r="H163" s="10" t="str">
        <f>VLOOKUP($A163,'Institution Evaluation'!$A$56:$K$346,8,0)&amp;""</f>
        <v/>
      </c>
      <c r="I163" s="10" t="str">
        <f>VLOOKUP($A163,'Institution Evaluation'!$A$56:$K$346,9,0)&amp;""</f>
        <v>Critical Importance</v>
      </c>
      <c r="J163" s="10" t="str">
        <f>VLOOKUP($A163,'Institution Evaluation'!$A$56:$K$346,10,0)&amp;""</f>
        <v/>
      </c>
      <c r="K163" s="10">
        <f t="shared" si="31"/>
        <v>20</v>
      </c>
      <c r="L163" s="114">
        <f>IF($E163="Not Scored", "N/A",IF(AND($D163='Auto Responses'!$J$27,$H163=""),"N/A",IF(AND($D163='Auto Responses'!$J$27,$H163='Auto Responses'!$J$7),1,IF(AND($D163='Auto Responses'!$J$27,$H163='Auto Responses'!$J$8),0,IF(OR($F163=$G163,$H163='Auto Responses'!$J$7),1,0)))))</f>
        <v>1</v>
      </c>
      <c r="M163" s="10" t="str">
        <f>VLOOKUP($A163,'Institution Evaluation'!$A$56:$K$346,10,0)&amp;""</f>
        <v/>
      </c>
      <c r="N163" s="10">
        <f t="shared" si="32"/>
        <v>1</v>
      </c>
      <c r="O163" s="114">
        <f t="shared" si="33"/>
        <v>20</v>
      </c>
      <c r="P163" s="114">
        <f t="shared" si="34"/>
        <v>20</v>
      </c>
      <c r="Q163" s="114">
        <f t="shared" si="26"/>
        <v>0</v>
      </c>
      <c r="R163" s="114">
        <f t="shared" si="35"/>
        <v>0</v>
      </c>
      <c r="S163" s="114">
        <f t="shared" si="27"/>
        <v>0</v>
      </c>
      <c r="T163" s="114">
        <f t="shared" si="28"/>
        <v>1</v>
      </c>
      <c r="U163" s="114">
        <f t="shared" si="36"/>
        <v>53</v>
      </c>
      <c r="V163" s="114">
        <f t="shared" si="29"/>
        <v>53</v>
      </c>
    </row>
    <row r="164" spans="1:22" ht="56" x14ac:dyDescent="0.3">
      <c r="A164" s="10" t="str">
        <f>Questions!$A164</f>
        <v>PPPR-03</v>
      </c>
      <c r="B164" s="10" t="str">
        <f t="shared" si="30"/>
        <v>PPPR</v>
      </c>
      <c r="C164" s="10" t="str">
        <f>VLOOKUP($A164,Questions!$A$3:$L$333,2,0)&amp;""</f>
        <v>Is your company subject to the institution's geographic region's laws and regulations?*</v>
      </c>
      <c r="D164" s="10" t="str">
        <f>VLOOKUP($A164,Questions!$A$3:$L$333,11,0)&amp;""</f>
        <v/>
      </c>
      <c r="E164" s="10" t="str">
        <f>VLOOKUP($A164,Questions!$A$3:$L$333,12,0)&amp;""</f>
        <v>Organization</v>
      </c>
      <c r="F164" s="10" t="str">
        <f>VLOOKUP($A164,'Institution Evaluation'!$A$56:$K$346,3,0)&amp;""</f>
        <v>Yes</v>
      </c>
      <c r="G164" s="10" t="str">
        <f>VLOOKUP($A164,'Institution Evaluation'!$A$56:$K$346,7,0)&amp;""</f>
        <v>Yes</v>
      </c>
      <c r="H164" s="10" t="str">
        <f>VLOOKUP($A164,'Institution Evaluation'!$A$56:$K$346,8,0)&amp;""</f>
        <v/>
      </c>
      <c r="I164" s="10" t="str">
        <f>VLOOKUP($A164,'Institution Evaluation'!$A$56:$K$346,9,0)&amp;""</f>
        <v>Critical Importance</v>
      </c>
      <c r="J164" s="10" t="str">
        <f>VLOOKUP($A164,'Institution Evaluation'!$A$56:$K$346,10,0)&amp;""</f>
        <v/>
      </c>
      <c r="K164" s="10">
        <f t="shared" si="31"/>
        <v>20</v>
      </c>
      <c r="L164" s="114">
        <f>IF($E164="Not Scored", "N/A",IF(AND($D164='Auto Responses'!$J$27,$H164=""),"N/A",IF(AND($D164='Auto Responses'!$J$27,$H164='Auto Responses'!$J$7),1,IF(AND($D164='Auto Responses'!$J$27,$H164='Auto Responses'!$J$8),0,IF(OR($F164=$G164,$H164='Auto Responses'!$J$7),1,0)))))</f>
        <v>1</v>
      </c>
      <c r="M164" s="10" t="str">
        <f>VLOOKUP($A164,'Institution Evaluation'!$A$56:$K$346,10,0)&amp;""</f>
        <v/>
      </c>
      <c r="N164" s="10">
        <f t="shared" si="32"/>
        <v>1</v>
      </c>
      <c r="O164" s="114">
        <f t="shared" si="33"/>
        <v>20</v>
      </c>
      <c r="P164" s="114">
        <f t="shared" si="34"/>
        <v>20</v>
      </c>
      <c r="Q164" s="114">
        <f t="shared" si="26"/>
        <v>0</v>
      </c>
      <c r="R164" s="114">
        <f t="shared" si="35"/>
        <v>0</v>
      </c>
      <c r="S164" s="114">
        <f t="shared" si="27"/>
        <v>0</v>
      </c>
      <c r="T164" s="114">
        <f t="shared" si="28"/>
        <v>1</v>
      </c>
      <c r="U164" s="114">
        <f t="shared" si="36"/>
        <v>54</v>
      </c>
      <c r="V164" s="114">
        <f t="shared" si="29"/>
        <v>54</v>
      </c>
    </row>
    <row r="165" spans="1:22" ht="56" x14ac:dyDescent="0.3">
      <c r="A165" s="10" t="str">
        <f>Questions!$A165</f>
        <v>PPPR-04</v>
      </c>
      <c r="B165" s="10" t="str">
        <f t="shared" si="30"/>
        <v>PPPR</v>
      </c>
      <c r="C165" s="10" t="str">
        <f>VLOOKUP($A165,Questions!$A$3:$L$333,2,0)&amp;""</f>
        <v>Can you accommodate encryption requirements using open standards?</v>
      </c>
      <c r="D165" s="10" t="str">
        <f>VLOOKUP($A165,Questions!$A$3:$L$333,11,0)&amp;""</f>
        <v/>
      </c>
      <c r="E165" s="10" t="str">
        <f>VLOOKUP($A165,Questions!$A$3:$L$333,12,0)&amp;""</f>
        <v>Organization</v>
      </c>
      <c r="F165" s="10" t="str">
        <f>VLOOKUP($A165,'Institution Evaluation'!$A$56:$K$346,3,0)&amp;""</f>
        <v>Yes</v>
      </c>
      <c r="G165" s="10" t="str">
        <f>VLOOKUP($A165,'Institution Evaluation'!$A$56:$K$346,7,0)&amp;""</f>
        <v>Yes</v>
      </c>
      <c r="H165" s="10" t="str">
        <f>VLOOKUP($A165,'Institution Evaluation'!$A$56:$K$346,8,0)&amp;""</f>
        <v/>
      </c>
      <c r="I165" s="10" t="str">
        <f>VLOOKUP($A165,'Institution Evaluation'!$A$56:$K$346,9,0)&amp;""</f>
        <v>Standard Importance</v>
      </c>
      <c r="J165" s="10" t="str">
        <f>VLOOKUP($A165,'Institution Evaluation'!$A$56:$K$346,10,0)&amp;""</f>
        <v/>
      </c>
      <c r="K165" s="10">
        <f t="shared" si="31"/>
        <v>10</v>
      </c>
      <c r="L165" s="114">
        <f>IF($E165="Not Scored", "N/A",IF(AND($D165='Auto Responses'!$J$27,$H165=""),"N/A",IF(AND($D165='Auto Responses'!$J$27,$H165='Auto Responses'!$J$7),1,IF(AND($D165='Auto Responses'!$J$27,$H165='Auto Responses'!$J$8),0,IF(OR($F165=$G165,$H165='Auto Responses'!$J$7),1,0)))))</f>
        <v>1</v>
      </c>
      <c r="M165" s="10" t="str">
        <f>VLOOKUP($A165,'Institution Evaluation'!$A$56:$K$346,10,0)&amp;""</f>
        <v/>
      </c>
      <c r="N165" s="10">
        <f t="shared" si="32"/>
        <v>0</v>
      </c>
      <c r="O165" s="114">
        <f t="shared" si="33"/>
        <v>10</v>
      </c>
      <c r="P165" s="114">
        <f t="shared" si="34"/>
        <v>10</v>
      </c>
      <c r="Q165" s="114">
        <f t="shared" si="26"/>
        <v>0</v>
      </c>
      <c r="R165" s="114">
        <f t="shared" si="35"/>
        <v>0</v>
      </c>
      <c r="S165" s="114">
        <f t="shared" si="27"/>
        <v>0</v>
      </c>
      <c r="T165" s="114">
        <f t="shared" si="28"/>
        <v>0</v>
      </c>
      <c r="U165" s="114">
        <f t="shared" si="36"/>
        <v>54</v>
      </c>
      <c r="V165" s="114">
        <f t="shared" si="29"/>
        <v>0</v>
      </c>
    </row>
    <row r="166" spans="1:22" ht="56" x14ac:dyDescent="0.3">
      <c r="A166" s="10" t="str">
        <f>Questions!$A166</f>
        <v>PPPR-05</v>
      </c>
      <c r="B166" s="10" t="str">
        <f t="shared" si="30"/>
        <v>PPPR</v>
      </c>
      <c r="C166" s="10" t="str">
        <f>VLOOKUP($A166,Questions!$A$3:$L$333,2,0)&amp;""</f>
        <v>Do you have a documented systems development life cycle (SDLC)?</v>
      </c>
      <c r="D166" s="10" t="str">
        <f>VLOOKUP($A166,Questions!$A$3:$L$333,11,0)&amp;""</f>
        <v/>
      </c>
      <c r="E166" s="10" t="str">
        <f>VLOOKUP($A166,Questions!$A$3:$L$333,12,0)&amp;""</f>
        <v>Organization</v>
      </c>
      <c r="F166" s="10" t="str">
        <f>VLOOKUP($A166,'Institution Evaluation'!$A$56:$K$346,3,0)&amp;""</f>
        <v>Yes</v>
      </c>
      <c r="G166" s="10" t="str">
        <f>VLOOKUP($A166,'Institution Evaluation'!$A$56:$K$346,7,0)&amp;""</f>
        <v>Yes</v>
      </c>
      <c r="H166" s="10" t="str">
        <f>VLOOKUP($A166,'Institution Evaluation'!$A$56:$K$346,8,0)&amp;""</f>
        <v/>
      </c>
      <c r="I166" s="10" t="str">
        <f>VLOOKUP($A166,'Institution Evaluation'!$A$56:$K$346,9,0)&amp;""</f>
        <v>Standard Importance</v>
      </c>
      <c r="J166" s="10" t="str">
        <f>VLOOKUP($A166,'Institution Evaluation'!$A$56:$K$346,10,0)&amp;""</f>
        <v/>
      </c>
      <c r="K166" s="10">
        <f t="shared" si="31"/>
        <v>10</v>
      </c>
      <c r="L166" s="114">
        <f>IF($E166="Not Scored", "N/A",IF(AND($D166='Auto Responses'!$J$27,$H166=""),"N/A",IF(AND($D166='Auto Responses'!$J$27,$H166='Auto Responses'!$J$7),1,IF(AND($D166='Auto Responses'!$J$27,$H166='Auto Responses'!$J$8),0,IF(OR($F166=$G166,$H166='Auto Responses'!$J$7),1,0)))))</f>
        <v>1</v>
      </c>
      <c r="M166" s="10" t="str">
        <f>VLOOKUP($A166,'Institution Evaluation'!$A$56:$K$346,10,0)&amp;""</f>
        <v/>
      </c>
      <c r="N166" s="10">
        <f t="shared" si="32"/>
        <v>0</v>
      </c>
      <c r="O166" s="114">
        <f t="shared" si="33"/>
        <v>10</v>
      </c>
      <c r="P166" s="114">
        <f t="shared" si="34"/>
        <v>10</v>
      </c>
      <c r="Q166" s="114">
        <f t="shared" si="26"/>
        <v>0</v>
      </c>
      <c r="R166" s="114">
        <f t="shared" si="35"/>
        <v>0</v>
      </c>
      <c r="S166" s="114">
        <f t="shared" si="27"/>
        <v>0</v>
      </c>
      <c r="T166" s="114">
        <f t="shared" si="28"/>
        <v>0</v>
      </c>
      <c r="U166" s="114">
        <f t="shared" si="36"/>
        <v>54</v>
      </c>
      <c r="V166" s="114">
        <f t="shared" si="29"/>
        <v>0</v>
      </c>
    </row>
    <row r="167" spans="1:22" ht="56" x14ac:dyDescent="0.3">
      <c r="A167" s="10" t="str">
        <f>Questions!$A167</f>
        <v>PPPR-06</v>
      </c>
      <c r="B167" s="10" t="str">
        <f t="shared" si="30"/>
        <v>PPPR</v>
      </c>
      <c r="C167" s="10" t="str">
        <f>VLOOKUP($A167,Questions!$A$3:$L$333,2,0)&amp;""</f>
        <v>Do you perform background screenings or multi-state background checks on all employees prior to their first day of work?</v>
      </c>
      <c r="D167" s="10" t="str">
        <f>VLOOKUP($A167,Questions!$A$3:$L$333,11,0)&amp;""</f>
        <v/>
      </c>
      <c r="E167" s="10" t="str">
        <f>VLOOKUP($A167,Questions!$A$3:$L$333,12,0)&amp;""</f>
        <v>Organization</v>
      </c>
      <c r="F167" s="10" t="str">
        <f>VLOOKUP($A167,'Institution Evaluation'!$A$56:$K$346,3,0)&amp;""</f>
        <v>Yes</v>
      </c>
      <c r="G167" s="10" t="str">
        <f>VLOOKUP($A167,'Institution Evaluation'!$A$56:$K$346,7,0)&amp;""</f>
        <v>Yes</v>
      </c>
      <c r="H167" s="10" t="str">
        <f>VLOOKUP($A167,'Institution Evaluation'!$A$56:$K$346,8,0)&amp;""</f>
        <v/>
      </c>
      <c r="I167" s="10" t="str">
        <f>VLOOKUP($A167,'Institution Evaluation'!$A$56:$K$346,9,0)&amp;""</f>
        <v>Standard Importance</v>
      </c>
      <c r="J167" s="10" t="str">
        <f>VLOOKUP($A167,'Institution Evaluation'!$A$56:$K$346,10,0)&amp;""</f>
        <v/>
      </c>
      <c r="K167" s="10">
        <f t="shared" si="31"/>
        <v>10</v>
      </c>
      <c r="L167" s="114">
        <f>IF($E167="Not Scored", "N/A",IF(AND($D167='Auto Responses'!$J$27,$H167=""),"N/A",IF(AND($D167='Auto Responses'!$J$27,$H167='Auto Responses'!$J$7),1,IF(AND($D167='Auto Responses'!$J$27,$H167='Auto Responses'!$J$8),0,IF(OR($F167=$G167,$H167='Auto Responses'!$J$7),1,0)))))</f>
        <v>1</v>
      </c>
      <c r="M167" s="10" t="str">
        <f>VLOOKUP($A167,'Institution Evaluation'!$A$56:$K$346,10,0)&amp;""</f>
        <v/>
      </c>
      <c r="N167" s="10">
        <f t="shared" si="32"/>
        <v>0</v>
      </c>
      <c r="O167" s="114">
        <f t="shared" si="33"/>
        <v>10</v>
      </c>
      <c r="P167" s="114">
        <f t="shared" si="34"/>
        <v>10</v>
      </c>
      <c r="Q167" s="114">
        <f t="shared" si="26"/>
        <v>0</v>
      </c>
      <c r="R167" s="114">
        <f t="shared" si="35"/>
        <v>0</v>
      </c>
      <c r="S167" s="114">
        <f t="shared" si="27"/>
        <v>0</v>
      </c>
      <c r="T167" s="114">
        <f t="shared" si="28"/>
        <v>0</v>
      </c>
      <c r="U167" s="114">
        <f t="shared" si="36"/>
        <v>54</v>
      </c>
      <c r="V167" s="114">
        <f t="shared" si="29"/>
        <v>0</v>
      </c>
    </row>
    <row r="168" spans="1:22" ht="56" x14ac:dyDescent="0.3">
      <c r="A168" s="10" t="str">
        <f>Questions!$A168</f>
        <v>PPPR-07</v>
      </c>
      <c r="B168" s="10" t="str">
        <f t="shared" si="30"/>
        <v>PPPR</v>
      </c>
      <c r="C168" s="10" t="str">
        <f>VLOOKUP($A168,Questions!$A$3:$L$333,2,0)&amp;""</f>
        <v>Do you require new employees to fill out agreements and review policies?</v>
      </c>
      <c r="D168" s="10" t="str">
        <f>VLOOKUP($A168,Questions!$A$3:$L$333,11,0)&amp;""</f>
        <v/>
      </c>
      <c r="E168" s="10" t="str">
        <f>VLOOKUP($A168,Questions!$A$3:$L$333,12,0)&amp;""</f>
        <v>Organization</v>
      </c>
      <c r="F168" s="10" t="str">
        <f>VLOOKUP($A168,'Institution Evaluation'!$A$56:$K$346,3,0)&amp;""</f>
        <v>Yes</v>
      </c>
      <c r="G168" s="10" t="str">
        <f>VLOOKUP($A168,'Institution Evaluation'!$A$56:$K$346,7,0)&amp;""</f>
        <v>Yes</v>
      </c>
      <c r="H168" s="10" t="str">
        <f>VLOOKUP($A168,'Institution Evaluation'!$A$56:$K$346,8,0)&amp;""</f>
        <v/>
      </c>
      <c r="I168" s="10" t="str">
        <f>VLOOKUP($A168,'Institution Evaluation'!$A$56:$K$346,9,0)&amp;""</f>
        <v>Standard Importance</v>
      </c>
      <c r="J168" s="10" t="str">
        <f>VLOOKUP($A168,'Institution Evaluation'!$A$56:$K$346,10,0)&amp;""</f>
        <v/>
      </c>
      <c r="K168" s="10">
        <f t="shared" si="31"/>
        <v>10</v>
      </c>
      <c r="L168" s="114">
        <f>IF($E168="Not Scored", "N/A",IF(AND($D168='Auto Responses'!$J$27,$H168=""),"N/A",IF(AND($D168='Auto Responses'!$J$27,$H168='Auto Responses'!$J$7),1,IF(AND($D168='Auto Responses'!$J$27,$H168='Auto Responses'!$J$8),0,IF(OR($F168=$G168,$H168='Auto Responses'!$J$7),1,0)))))</f>
        <v>1</v>
      </c>
      <c r="M168" s="10" t="str">
        <f>VLOOKUP($A168,'Institution Evaluation'!$A$56:$K$346,10,0)&amp;""</f>
        <v/>
      </c>
      <c r="N168" s="10">
        <f t="shared" si="32"/>
        <v>0</v>
      </c>
      <c r="O168" s="114">
        <f t="shared" si="33"/>
        <v>10</v>
      </c>
      <c r="P168" s="114">
        <f t="shared" si="34"/>
        <v>10</v>
      </c>
      <c r="Q168" s="114">
        <f t="shared" si="26"/>
        <v>0</v>
      </c>
      <c r="R168" s="114">
        <f t="shared" si="35"/>
        <v>0</v>
      </c>
      <c r="S168" s="114">
        <f t="shared" si="27"/>
        <v>0</v>
      </c>
      <c r="T168" s="114">
        <f t="shared" si="28"/>
        <v>0</v>
      </c>
      <c r="U168" s="114">
        <f t="shared" si="36"/>
        <v>54</v>
      </c>
      <c r="V168" s="114">
        <f t="shared" si="29"/>
        <v>0</v>
      </c>
    </row>
    <row r="169" spans="1:22" ht="56" x14ac:dyDescent="0.3">
      <c r="A169" s="10" t="str">
        <f>Questions!$A169</f>
        <v>PPPR-08</v>
      </c>
      <c r="B169" s="10" t="str">
        <f t="shared" si="30"/>
        <v>PPPR</v>
      </c>
      <c r="C169" s="10" t="str">
        <f>VLOOKUP($A169,Questions!$A$3:$L$333,2,0)&amp;""</f>
        <v>Do you have a documented information security policy?</v>
      </c>
      <c r="D169" s="10" t="str">
        <f>VLOOKUP($A169,Questions!$A$3:$L$333,11,0)&amp;""</f>
        <v/>
      </c>
      <c r="E169" s="10" t="str">
        <f>VLOOKUP($A169,Questions!$A$3:$L$333,12,0)&amp;""</f>
        <v>Organization</v>
      </c>
      <c r="F169" s="10" t="str">
        <f>VLOOKUP($A169,'Institution Evaluation'!$A$56:$K$346,3,0)&amp;""</f>
        <v>Yes</v>
      </c>
      <c r="G169" s="10" t="str">
        <f>VLOOKUP($A169,'Institution Evaluation'!$A$56:$K$346,7,0)&amp;""</f>
        <v>Yes</v>
      </c>
      <c r="H169" s="10" t="str">
        <f>VLOOKUP($A169,'Institution Evaluation'!$A$56:$K$346,8,0)&amp;""</f>
        <v/>
      </c>
      <c r="I169" s="10" t="str">
        <f>VLOOKUP($A169,'Institution Evaluation'!$A$56:$K$346,9,0)&amp;""</f>
        <v>Standard Importance</v>
      </c>
      <c r="J169" s="10" t="str">
        <f>VLOOKUP($A169,'Institution Evaluation'!$A$56:$K$346,10,0)&amp;""</f>
        <v/>
      </c>
      <c r="K169" s="10">
        <f t="shared" si="31"/>
        <v>10</v>
      </c>
      <c r="L169" s="114">
        <f>IF($E169="Not Scored", "N/A",IF(AND($D169='Auto Responses'!$J$27,$H169=""),"N/A",IF(AND($D169='Auto Responses'!$J$27,$H169='Auto Responses'!$J$7),1,IF(AND($D169='Auto Responses'!$J$27,$H169='Auto Responses'!$J$8),0,IF(OR($F169=$G169,$H169='Auto Responses'!$J$7),1,0)))))</f>
        <v>1</v>
      </c>
      <c r="M169" s="10" t="str">
        <f>VLOOKUP($A169,'Institution Evaluation'!$A$56:$K$346,10,0)&amp;""</f>
        <v/>
      </c>
      <c r="N169" s="10">
        <f t="shared" si="32"/>
        <v>0</v>
      </c>
      <c r="O169" s="114">
        <f t="shared" si="33"/>
        <v>10</v>
      </c>
      <c r="P169" s="114">
        <f t="shared" si="34"/>
        <v>10</v>
      </c>
      <c r="Q169" s="114">
        <f t="shared" si="26"/>
        <v>0</v>
      </c>
      <c r="R169" s="114">
        <f t="shared" si="35"/>
        <v>0</v>
      </c>
      <c r="S169" s="114">
        <f t="shared" si="27"/>
        <v>0</v>
      </c>
      <c r="T169" s="114">
        <f t="shared" si="28"/>
        <v>0</v>
      </c>
      <c r="U169" s="114">
        <f t="shared" si="36"/>
        <v>54</v>
      </c>
      <c r="V169" s="114">
        <f t="shared" si="29"/>
        <v>0</v>
      </c>
    </row>
    <row r="170" spans="1:22" ht="56" x14ac:dyDescent="0.3">
      <c r="A170" s="10" t="str">
        <f>Questions!$A170</f>
        <v>PPPR-09</v>
      </c>
      <c r="B170" s="10" t="str">
        <f t="shared" si="30"/>
        <v>PPPR</v>
      </c>
      <c r="C170" s="10" t="str">
        <f>VLOOKUP($A170,Questions!$A$3:$L$333,2,0)&amp;""</f>
        <v>Are information security principles designed into the product lifecycle?</v>
      </c>
      <c r="D170" s="10" t="str">
        <f>VLOOKUP($A170,Questions!$A$3:$L$333,11,0)&amp;""</f>
        <v/>
      </c>
      <c r="E170" s="10" t="str">
        <f>VLOOKUP($A170,Questions!$A$3:$L$333,12,0)&amp;""</f>
        <v>Organization</v>
      </c>
      <c r="F170" s="10" t="str">
        <f>VLOOKUP($A170,'Institution Evaluation'!$A$56:$K$346,3,0)&amp;""</f>
        <v>Yes</v>
      </c>
      <c r="G170" s="10" t="str">
        <f>VLOOKUP($A170,'Institution Evaluation'!$A$56:$K$346,7,0)&amp;""</f>
        <v>Yes</v>
      </c>
      <c r="H170" s="10" t="str">
        <f>VLOOKUP($A170,'Institution Evaluation'!$A$56:$K$346,8,0)&amp;""</f>
        <v/>
      </c>
      <c r="I170" s="10" t="str">
        <f>VLOOKUP($A170,'Institution Evaluation'!$A$56:$K$346,9,0)&amp;""</f>
        <v>Minor Importance</v>
      </c>
      <c r="J170" s="10" t="str">
        <f>VLOOKUP($A170,'Institution Evaluation'!$A$56:$K$346,10,0)&amp;""</f>
        <v/>
      </c>
      <c r="K170" s="10">
        <f t="shared" si="31"/>
        <v>5</v>
      </c>
      <c r="L170" s="114">
        <f>IF($E170="Not Scored", "N/A",IF(AND($D170='Auto Responses'!$J$27,$H170=""),"N/A",IF(AND($D170='Auto Responses'!$J$27,$H170='Auto Responses'!$J$7),1,IF(AND($D170='Auto Responses'!$J$27,$H170='Auto Responses'!$J$8),0,IF(OR($F170=$G170,$H170='Auto Responses'!$J$7),1,0)))))</f>
        <v>1</v>
      </c>
      <c r="M170" s="10" t="str">
        <f>VLOOKUP($A170,'Institution Evaluation'!$A$56:$K$346,10,0)&amp;""</f>
        <v/>
      </c>
      <c r="N170" s="10">
        <f t="shared" si="32"/>
        <v>0</v>
      </c>
      <c r="O170" s="114">
        <f t="shared" si="33"/>
        <v>5</v>
      </c>
      <c r="P170" s="114">
        <f t="shared" si="34"/>
        <v>5</v>
      </c>
      <c r="Q170" s="114">
        <f t="shared" si="26"/>
        <v>0</v>
      </c>
      <c r="R170" s="114">
        <f t="shared" si="35"/>
        <v>0</v>
      </c>
      <c r="S170" s="114">
        <f t="shared" si="27"/>
        <v>0</v>
      </c>
      <c r="T170" s="114">
        <f t="shared" si="28"/>
        <v>0</v>
      </c>
      <c r="U170" s="114">
        <f t="shared" si="36"/>
        <v>54</v>
      </c>
      <c r="V170" s="114">
        <f t="shared" si="29"/>
        <v>0</v>
      </c>
    </row>
    <row r="171" spans="1:22" ht="56" x14ac:dyDescent="0.3">
      <c r="A171" s="10" t="str">
        <f>Questions!$A171</f>
        <v>PPPR-10</v>
      </c>
      <c r="B171" s="10" t="str">
        <f t="shared" si="30"/>
        <v>PPPR</v>
      </c>
      <c r="C171" s="10" t="str">
        <f>VLOOKUP($A171,Questions!$A$3:$L$333,2,0)&amp;""</f>
        <v>Will you comply with applicable breach notification laws?</v>
      </c>
      <c r="D171" s="10" t="str">
        <f>VLOOKUP($A171,Questions!$A$3:$L$333,11,0)&amp;""</f>
        <v/>
      </c>
      <c r="E171" s="10" t="str">
        <f>VLOOKUP($A171,Questions!$A$3:$L$333,12,0)&amp;""</f>
        <v>Organization</v>
      </c>
      <c r="F171" s="10" t="str">
        <f>VLOOKUP($A171,'Institution Evaluation'!$A$56:$K$346,3,0)&amp;""</f>
        <v>Yes</v>
      </c>
      <c r="G171" s="10" t="str">
        <f>VLOOKUP($A171,'Institution Evaluation'!$A$56:$K$346,7,0)&amp;""</f>
        <v>Yes</v>
      </c>
      <c r="H171" s="10" t="str">
        <f>VLOOKUP($A171,'Institution Evaluation'!$A$56:$K$346,8,0)&amp;""</f>
        <v/>
      </c>
      <c r="I171" s="10" t="str">
        <f>VLOOKUP($A171,'Institution Evaluation'!$A$56:$K$346,9,0)&amp;""</f>
        <v>Minor Importance</v>
      </c>
      <c r="J171" s="10" t="str">
        <f>VLOOKUP($A171,'Institution Evaluation'!$A$56:$K$346,10,0)&amp;""</f>
        <v/>
      </c>
      <c r="K171" s="10">
        <f t="shared" si="31"/>
        <v>5</v>
      </c>
      <c r="L171" s="114">
        <f>IF($E171="Not Scored", "N/A",IF(AND($D171='Auto Responses'!$J$27,$H171=""),"N/A",IF(AND($D171='Auto Responses'!$J$27,$H171='Auto Responses'!$J$7),1,IF(AND($D171='Auto Responses'!$J$27,$H171='Auto Responses'!$J$8),0,IF(OR($F171=$G171,$H171='Auto Responses'!$J$7),1,0)))))</f>
        <v>1</v>
      </c>
      <c r="M171" s="10" t="str">
        <f>VLOOKUP($A171,'Institution Evaluation'!$A$56:$K$346,10,0)&amp;""</f>
        <v/>
      </c>
      <c r="N171" s="10">
        <f t="shared" si="32"/>
        <v>0</v>
      </c>
      <c r="O171" s="114">
        <f t="shared" si="33"/>
        <v>5</v>
      </c>
      <c r="P171" s="114">
        <f t="shared" si="34"/>
        <v>5</v>
      </c>
      <c r="Q171" s="114">
        <f t="shared" si="26"/>
        <v>0</v>
      </c>
      <c r="R171" s="114">
        <f t="shared" si="35"/>
        <v>0</v>
      </c>
      <c r="S171" s="114">
        <f t="shared" si="27"/>
        <v>0</v>
      </c>
      <c r="T171" s="114">
        <f t="shared" si="28"/>
        <v>0</v>
      </c>
      <c r="U171" s="114">
        <f t="shared" si="36"/>
        <v>54</v>
      </c>
      <c r="V171" s="114">
        <f t="shared" si="29"/>
        <v>0</v>
      </c>
    </row>
    <row r="172" spans="1:22" ht="56" x14ac:dyDescent="0.3">
      <c r="A172" s="10" t="str">
        <f>Questions!$A172</f>
        <v>PPPR-11</v>
      </c>
      <c r="B172" s="10" t="str">
        <f t="shared" si="30"/>
        <v>PPPR</v>
      </c>
      <c r="C172" s="10" t="str">
        <f>VLOOKUP($A172,Questions!$A$3:$L$333,2,0)&amp;""</f>
        <v>Do you have an information security awareness program?</v>
      </c>
      <c r="D172" s="10" t="str">
        <f>VLOOKUP($A172,Questions!$A$3:$L$333,11,0)&amp;""</f>
        <v/>
      </c>
      <c r="E172" s="10" t="str">
        <f>VLOOKUP($A172,Questions!$A$3:$L$333,12,0)&amp;""</f>
        <v>Organization</v>
      </c>
      <c r="F172" s="10" t="str">
        <f>VLOOKUP($A172,'Institution Evaluation'!$A$56:$K$346,3,0)&amp;""</f>
        <v>Yes</v>
      </c>
      <c r="G172" s="10" t="str">
        <f>VLOOKUP($A172,'Institution Evaluation'!$A$56:$K$346,7,0)&amp;""</f>
        <v>Yes</v>
      </c>
      <c r="H172" s="10" t="str">
        <f>VLOOKUP($A172,'Institution Evaluation'!$A$56:$K$346,8,0)&amp;""</f>
        <v/>
      </c>
      <c r="I172" s="10" t="str">
        <f>VLOOKUP($A172,'Institution Evaluation'!$A$56:$K$346,9,0)&amp;""</f>
        <v>Minor Importance</v>
      </c>
      <c r="J172" s="10" t="str">
        <f>VLOOKUP($A172,'Institution Evaluation'!$A$56:$K$346,10,0)&amp;""</f>
        <v/>
      </c>
      <c r="K172" s="10">
        <f t="shared" si="31"/>
        <v>5</v>
      </c>
      <c r="L172" s="114">
        <f>IF($E172="Not Scored", "N/A",IF(AND($D172='Auto Responses'!$J$27,$H172=""),"N/A",IF(AND($D172='Auto Responses'!$J$27,$H172='Auto Responses'!$J$7),1,IF(AND($D172='Auto Responses'!$J$27,$H172='Auto Responses'!$J$8),0,IF(OR($F172=$G172,$H172='Auto Responses'!$J$7),1,0)))))</f>
        <v>1</v>
      </c>
      <c r="M172" s="10" t="str">
        <f>VLOOKUP($A172,'Institution Evaluation'!$A$56:$K$346,10,0)&amp;""</f>
        <v/>
      </c>
      <c r="N172" s="10">
        <f t="shared" si="32"/>
        <v>0</v>
      </c>
      <c r="O172" s="114">
        <f t="shared" si="33"/>
        <v>5</v>
      </c>
      <c r="P172" s="114">
        <f t="shared" si="34"/>
        <v>5</v>
      </c>
      <c r="Q172" s="114">
        <f t="shared" si="26"/>
        <v>0</v>
      </c>
      <c r="R172" s="114">
        <f t="shared" si="35"/>
        <v>0</v>
      </c>
      <c r="S172" s="114">
        <f t="shared" si="27"/>
        <v>0</v>
      </c>
      <c r="T172" s="114">
        <f t="shared" si="28"/>
        <v>0</v>
      </c>
      <c r="U172" s="114">
        <f t="shared" si="36"/>
        <v>54</v>
      </c>
      <c r="V172" s="114">
        <f t="shared" si="29"/>
        <v>0</v>
      </c>
    </row>
    <row r="173" spans="1:22" ht="56" x14ac:dyDescent="0.3">
      <c r="A173" s="10" t="str">
        <f>Questions!$A173</f>
        <v>PPPR-12</v>
      </c>
      <c r="B173" s="10" t="str">
        <f t="shared" si="30"/>
        <v>PPPR</v>
      </c>
      <c r="C173" s="10" t="str">
        <f>VLOOKUP($A173,Questions!$A$3:$L$333,2,0)&amp;""</f>
        <v>Is security awareness training mandatory for all employees?</v>
      </c>
      <c r="D173" s="10" t="str">
        <f>VLOOKUP($A173,Questions!$A$3:$L$333,11,0)&amp;""</f>
        <v/>
      </c>
      <c r="E173" s="10" t="str">
        <f>VLOOKUP($A173,Questions!$A$3:$L$333,12,0)&amp;""</f>
        <v>Organization</v>
      </c>
      <c r="F173" s="10" t="str">
        <f>VLOOKUP($A173,'Institution Evaluation'!$A$56:$K$346,3,0)&amp;""</f>
        <v>Yes</v>
      </c>
      <c r="G173" s="10" t="str">
        <f>VLOOKUP($A173,'Institution Evaluation'!$A$56:$K$346,7,0)&amp;""</f>
        <v>Yes</v>
      </c>
      <c r="H173" s="10" t="str">
        <f>VLOOKUP($A173,'Institution Evaluation'!$A$56:$K$346,8,0)&amp;""</f>
        <v/>
      </c>
      <c r="I173" s="10" t="str">
        <f>VLOOKUP($A173,'Institution Evaluation'!$A$56:$K$346,9,0)&amp;""</f>
        <v>Minor Importance</v>
      </c>
      <c r="J173" s="10" t="str">
        <f>VLOOKUP($A173,'Institution Evaluation'!$A$56:$K$346,10,0)&amp;""</f>
        <v/>
      </c>
      <c r="K173" s="10">
        <f t="shared" si="31"/>
        <v>5</v>
      </c>
      <c r="L173" s="114">
        <f>IF($E173="Not Scored", "N/A",IF(AND($D173='Auto Responses'!$J$27,$H173=""),"N/A",IF(AND($D173='Auto Responses'!$J$27,$H173='Auto Responses'!$J$7),1,IF(AND($D173='Auto Responses'!$J$27,$H173='Auto Responses'!$J$8),0,IF(OR($F173=$G173,$H173='Auto Responses'!$J$7),1,0)))))</f>
        <v>1</v>
      </c>
      <c r="M173" s="10" t="str">
        <f>VLOOKUP($A173,'Institution Evaluation'!$A$56:$K$346,10,0)&amp;""</f>
        <v/>
      </c>
      <c r="N173" s="10">
        <f t="shared" si="32"/>
        <v>0</v>
      </c>
      <c r="O173" s="114">
        <f t="shared" si="33"/>
        <v>5</v>
      </c>
      <c r="P173" s="114">
        <f t="shared" si="34"/>
        <v>5</v>
      </c>
      <c r="Q173" s="114">
        <f t="shared" si="26"/>
        <v>0</v>
      </c>
      <c r="R173" s="114">
        <f t="shared" si="35"/>
        <v>0</v>
      </c>
      <c r="S173" s="114">
        <f t="shared" si="27"/>
        <v>0</v>
      </c>
      <c r="T173" s="114">
        <f t="shared" si="28"/>
        <v>0</v>
      </c>
      <c r="U173" s="114">
        <f t="shared" si="36"/>
        <v>54</v>
      </c>
      <c r="V173" s="114">
        <f t="shared" si="29"/>
        <v>0</v>
      </c>
    </row>
    <row r="174" spans="1:22" ht="56" x14ac:dyDescent="0.3">
      <c r="A174" s="10" t="str">
        <f>Questions!$A174</f>
        <v>PPPR-13</v>
      </c>
      <c r="B174" s="10" t="str">
        <f t="shared" si="30"/>
        <v>PPPR</v>
      </c>
      <c r="C174" s="10" t="str">
        <f>VLOOKUP($A174,Questions!$A$3:$L$333,2,0)&amp;""</f>
        <v>Do you have process and procedure(s) documented, and currently followed, that require a review and update of the access list(s) for privileged accounts?</v>
      </c>
      <c r="D174" s="10" t="str">
        <f>VLOOKUP($A174,Questions!$A$3:$L$333,11,0)&amp;""</f>
        <v/>
      </c>
      <c r="E174" s="10" t="str">
        <f>VLOOKUP($A174,Questions!$A$3:$L$333,12,0)&amp;""</f>
        <v>Organization</v>
      </c>
      <c r="F174" s="10" t="str">
        <f>VLOOKUP($A174,'Institution Evaluation'!$A$56:$K$346,3,0)&amp;""</f>
        <v>Yes</v>
      </c>
      <c r="G174" s="10" t="str">
        <f>VLOOKUP($A174,'Institution Evaluation'!$A$56:$K$346,7,0)&amp;""</f>
        <v>Yes</v>
      </c>
      <c r="H174" s="10" t="str">
        <f>VLOOKUP($A174,'Institution Evaluation'!$A$56:$K$346,8,0)&amp;""</f>
        <v/>
      </c>
      <c r="I174" s="10" t="str">
        <f>VLOOKUP($A174,'Institution Evaluation'!$A$56:$K$346,9,0)&amp;""</f>
        <v>Minor Importance</v>
      </c>
      <c r="J174" s="10" t="str">
        <f>VLOOKUP($A174,'Institution Evaluation'!$A$56:$K$346,10,0)&amp;""</f>
        <v/>
      </c>
      <c r="K174" s="10">
        <f t="shared" si="31"/>
        <v>5</v>
      </c>
      <c r="L174" s="114">
        <f>IF($E174="Not Scored", "N/A",IF(AND($D174='Auto Responses'!$J$27,$H174=""),"N/A",IF(AND($D174='Auto Responses'!$J$27,$H174='Auto Responses'!$J$7),1,IF(AND($D174='Auto Responses'!$J$27,$H174='Auto Responses'!$J$8),0,IF(OR($F174=$G174,$H174='Auto Responses'!$J$7),1,0)))))</f>
        <v>1</v>
      </c>
      <c r="M174" s="10" t="str">
        <f>VLOOKUP($A174,'Institution Evaluation'!$A$56:$K$346,10,0)&amp;""</f>
        <v/>
      </c>
      <c r="N174" s="10">
        <f t="shared" si="32"/>
        <v>0</v>
      </c>
      <c r="O174" s="114">
        <f t="shared" si="33"/>
        <v>5</v>
      </c>
      <c r="P174" s="114">
        <f t="shared" si="34"/>
        <v>5</v>
      </c>
      <c r="Q174" s="114">
        <f t="shared" si="26"/>
        <v>0</v>
      </c>
      <c r="R174" s="114">
        <f t="shared" si="35"/>
        <v>0</v>
      </c>
      <c r="S174" s="114">
        <f t="shared" si="27"/>
        <v>0</v>
      </c>
      <c r="T174" s="114">
        <f t="shared" si="28"/>
        <v>0</v>
      </c>
      <c r="U174" s="114">
        <f t="shared" si="36"/>
        <v>54</v>
      </c>
      <c r="V174" s="114">
        <f t="shared" si="29"/>
        <v>0</v>
      </c>
    </row>
    <row r="175" spans="1:22" ht="56" x14ac:dyDescent="0.3">
      <c r="A175" s="10" t="str">
        <f>Questions!$A175</f>
        <v>PPPR-14</v>
      </c>
      <c r="B175" s="10" t="str">
        <f t="shared" si="30"/>
        <v>PPPR</v>
      </c>
      <c r="C175" s="10" t="str">
        <f>VLOOKUP($A175,Questions!$A$3:$L$333,2,0)&amp;""</f>
        <v>Do you have documented, and currently implemented, internal audit processes and procedures?</v>
      </c>
      <c r="D175" s="10" t="str">
        <f>VLOOKUP($A175,Questions!$A$3:$L$333,11,0)&amp;""</f>
        <v/>
      </c>
      <c r="E175" s="10" t="str">
        <f>VLOOKUP($A175,Questions!$A$3:$L$333,12,0)&amp;""</f>
        <v>Organization</v>
      </c>
      <c r="F175" s="10" t="str">
        <f>VLOOKUP($A175,'Institution Evaluation'!$A$56:$K$346,3,0)&amp;""</f>
        <v>Yes</v>
      </c>
      <c r="G175" s="10" t="str">
        <f>VLOOKUP($A175,'Institution Evaluation'!$A$56:$K$346,7,0)&amp;""</f>
        <v>Yes</v>
      </c>
      <c r="H175" s="10" t="str">
        <f>VLOOKUP($A175,'Institution Evaluation'!$A$56:$K$346,8,0)&amp;""</f>
        <v/>
      </c>
      <c r="I175" s="10" t="str">
        <f>VLOOKUP($A175,'Institution Evaluation'!$A$56:$K$346,9,0)&amp;""</f>
        <v>Minor Importance</v>
      </c>
      <c r="J175" s="10" t="str">
        <f>VLOOKUP($A175,'Institution Evaluation'!$A$56:$K$346,10,0)&amp;""</f>
        <v/>
      </c>
      <c r="K175" s="10">
        <f t="shared" si="31"/>
        <v>5</v>
      </c>
      <c r="L175" s="114">
        <f>IF($E175="Not Scored", "N/A",IF(AND($D175='Auto Responses'!$J$27,$H175=""),"N/A",IF(AND($D175='Auto Responses'!$J$27,$H175='Auto Responses'!$J$7),1,IF(AND($D175='Auto Responses'!$J$27,$H175='Auto Responses'!$J$8),0,IF(OR($F175=$G175,$H175='Auto Responses'!$J$7),1,0)))))</f>
        <v>1</v>
      </c>
      <c r="M175" s="10" t="str">
        <f>VLOOKUP($A175,'Institution Evaluation'!$A$56:$K$346,10,0)&amp;""</f>
        <v/>
      </c>
      <c r="N175" s="10">
        <f t="shared" si="32"/>
        <v>0</v>
      </c>
      <c r="O175" s="114">
        <f t="shared" si="33"/>
        <v>5</v>
      </c>
      <c r="P175" s="114">
        <f t="shared" si="34"/>
        <v>5</v>
      </c>
      <c r="Q175" s="114">
        <f t="shared" si="26"/>
        <v>0</v>
      </c>
      <c r="R175" s="114">
        <f t="shared" si="35"/>
        <v>0</v>
      </c>
      <c r="S175" s="114">
        <f t="shared" si="27"/>
        <v>0</v>
      </c>
      <c r="T175" s="114">
        <f t="shared" si="28"/>
        <v>0</v>
      </c>
      <c r="U175" s="114">
        <f t="shared" si="36"/>
        <v>54</v>
      </c>
      <c r="V175" s="114">
        <f t="shared" si="29"/>
        <v>0</v>
      </c>
    </row>
    <row r="176" spans="1:22" ht="56" x14ac:dyDescent="0.3">
      <c r="A176" s="10" t="str">
        <f>Questions!$A176</f>
        <v>PPPR-15</v>
      </c>
      <c r="B176" s="10" t="str">
        <f t="shared" si="30"/>
        <v>PPPR</v>
      </c>
      <c r="C176" s="10" t="str">
        <f>VLOOKUP($A176,Questions!$A$3:$L$333,2,0)&amp;""</f>
        <v>Does your organization have physical security controls and policies in place?</v>
      </c>
      <c r="D176" s="10" t="str">
        <f>VLOOKUP($A176,Questions!$A$3:$L$333,11,0)&amp;""</f>
        <v/>
      </c>
      <c r="E176" s="10" t="str">
        <f>VLOOKUP($A176,Questions!$A$3:$L$333,12,0)&amp;""</f>
        <v>Organization</v>
      </c>
      <c r="F176" s="10" t="str">
        <f>VLOOKUP($A176,'Institution Evaluation'!$A$56:$K$346,3,0)&amp;""</f>
        <v>Yes</v>
      </c>
      <c r="G176" s="10" t="str">
        <f>VLOOKUP($A176,'Institution Evaluation'!$A$56:$K$346,7,0)&amp;""</f>
        <v>Yes</v>
      </c>
      <c r="H176" s="10" t="str">
        <f>VLOOKUP($A176,'Institution Evaluation'!$A$56:$K$346,8,0)&amp;""</f>
        <v/>
      </c>
      <c r="I176" s="10" t="str">
        <f>VLOOKUP($A176,'Institution Evaluation'!$A$56:$K$346,9,0)&amp;""</f>
        <v>Minor Importance</v>
      </c>
      <c r="J176" s="10" t="str">
        <f>VLOOKUP($A176,'Institution Evaluation'!$A$56:$K$346,10,0)&amp;""</f>
        <v/>
      </c>
      <c r="K176" s="10">
        <f t="shared" si="31"/>
        <v>5</v>
      </c>
      <c r="L176" s="114">
        <f>IF($E176="Not Scored", "N/A",IF(AND($D176='Auto Responses'!$J$27,$H176=""),"N/A",IF(AND($D176='Auto Responses'!$J$27,$H176='Auto Responses'!$J$7),1,IF(AND($D176='Auto Responses'!$J$27,$H176='Auto Responses'!$J$8),0,IF(OR($F176=$G176,$H176='Auto Responses'!$J$7),1,0)))))</f>
        <v>1</v>
      </c>
      <c r="M176" s="10" t="str">
        <f>VLOOKUP($A176,'Institution Evaluation'!$A$56:$K$346,10,0)&amp;""</f>
        <v/>
      </c>
      <c r="N176" s="10">
        <f t="shared" si="32"/>
        <v>0</v>
      </c>
      <c r="O176" s="114">
        <f>IF(OR($E176="Not Scored",$F176="N/A"),"N/A",IF($J176="",$K176,IF($J176="Minor Importance",5,IF($J176="Standard Importance",10,IF($J176="Critical Importance",20,0)))))</f>
        <v>5</v>
      </c>
      <c r="P176" s="114">
        <f t="shared" si="34"/>
        <v>5</v>
      </c>
      <c r="Q176" s="114">
        <f t="shared" si="26"/>
        <v>0</v>
      </c>
      <c r="R176" s="114">
        <f t="shared" si="35"/>
        <v>0</v>
      </c>
      <c r="S176" s="114">
        <f t="shared" si="27"/>
        <v>0</v>
      </c>
      <c r="T176" s="114">
        <f t="shared" si="28"/>
        <v>0</v>
      </c>
      <c r="U176" s="114">
        <f t="shared" si="36"/>
        <v>54</v>
      </c>
      <c r="V176" s="114">
        <f t="shared" si="29"/>
        <v>0</v>
      </c>
    </row>
    <row r="177" spans="1:22" ht="56" x14ac:dyDescent="0.3">
      <c r="A177" s="10" t="str">
        <f>Questions!$A177</f>
        <v>HFIH-01</v>
      </c>
      <c r="B177" s="10" t="str">
        <f t="shared" si="30"/>
        <v>HFIH</v>
      </c>
      <c r="C177" s="10" t="str">
        <f>VLOOKUP($A177,Questions!$A$3:$L$333,2,0)&amp;""</f>
        <v>Do you have a formal incident response plan?</v>
      </c>
      <c r="D177" s="10" t="str">
        <f>VLOOKUP($A177,Questions!$A$3:$L$333,11,0)&amp;""</f>
        <v/>
      </c>
      <c r="E177" s="10" t="str">
        <f>VLOOKUP($A177,Questions!$A$3:$L$333,12,0)&amp;""</f>
        <v>Infrastructure</v>
      </c>
      <c r="F177" s="10" t="str">
        <f>VLOOKUP($A177,'Institution Evaluation'!$A$56:$K$346,3,0)&amp;""</f>
        <v>Yes</v>
      </c>
      <c r="G177" s="10" t="str">
        <f>VLOOKUP($A177,'Institution Evaluation'!$A$56:$K$346,7,0)&amp;""</f>
        <v>Yes</v>
      </c>
      <c r="H177" s="10" t="str">
        <f>VLOOKUP($A177,'Institution Evaluation'!$A$56:$K$346,8,0)&amp;""</f>
        <v/>
      </c>
      <c r="I177" s="10" t="str">
        <f>VLOOKUP($A177,'Institution Evaluation'!$A$56:$K$346,9,0)&amp;""</f>
        <v>Standard Importance</v>
      </c>
      <c r="J177" s="10" t="str">
        <f>VLOOKUP($A177,'Institution Evaluation'!$A$56:$K$346,10,0)&amp;""</f>
        <v/>
      </c>
      <c r="K177" s="10">
        <f t="shared" si="31"/>
        <v>10</v>
      </c>
      <c r="L177" s="114">
        <f>IF($E177="Not Scored", "N/A",IF(AND($D177='Auto Responses'!$J$27,$H177=""),"N/A",IF(AND($D177='Auto Responses'!$J$27,$H177='Auto Responses'!$J$7),1,IF(AND($D177='Auto Responses'!$J$27,$H177='Auto Responses'!$J$8),0,IF(OR($F177=$G177,$H177='Auto Responses'!$J$7),1,0)))))</f>
        <v>1</v>
      </c>
      <c r="M177" s="10" t="str">
        <f>VLOOKUP($A177,'Institution Evaluation'!$A$56:$K$346,10,0)&amp;""</f>
        <v/>
      </c>
      <c r="N177" s="10">
        <f t="shared" si="32"/>
        <v>0</v>
      </c>
      <c r="O177" s="114">
        <f>IF(OR($F$17="No",$E177="Not Scored"),"N/A",IF($J177="",$K177,IF($J177="Minor Importance",5,IF($J177="Standard Importance",10,IF($J177="Critical Importance",20,0)))))</f>
        <v>10</v>
      </c>
      <c r="P177" s="114">
        <f t="shared" si="34"/>
        <v>10</v>
      </c>
      <c r="Q177" s="114">
        <f t="shared" si="26"/>
        <v>0</v>
      </c>
      <c r="R177" s="114">
        <f t="shared" si="35"/>
        <v>0</v>
      </c>
      <c r="S177" s="114">
        <f t="shared" si="27"/>
        <v>0</v>
      </c>
      <c r="T177" s="114">
        <f t="shared" si="28"/>
        <v>0</v>
      </c>
      <c r="U177" s="114">
        <f t="shared" si="36"/>
        <v>54</v>
      </c>
      <c r="V177" s="114">
        <f t="shared" si="29"/>
        <v>0</v>
      </c>
    </row>
    <row r="178" spans="1:22" ht="56" x14ac:dyDescent="0.3">
      <c r="A178" s="10" t="str">
        <f>Questions!$A178</f>
        <v>HFIH-02</v>
      </c>
      <c r="B178" s="10" t="str">
        <f t="shared" si="30"/>
        <v>HFIH</v>
      </c>
      <c r="C178" s="10" t="str">
        <f>VLOOKUP($A178,Questions!$A$3:$L$333,2,0)&amp;""</f>
        <v>Do you either have an internal incident response team or retain an external team?</v>
      </c>
      <c r="D178" s="10" t="str">
        <f>VLOOKUP($A178,Questions!$A$3:$L$333,11,0)&amp;""</f>
        <v/>
      </c>
      <c r="E178" s="10" t="str">
        <f>VLOOKUP($A178,Questions!$A$3:$L$333,12,0)&amp;""</f>
        <v>Infrastructure</v>
      </c>
      <c r="F178" s="10" t="str">
        <f>VLOOKUP($A178,'Institution Evaluation'!$A$56:$K$346,3,0)&amp;""</f>
        <v>Yes</v>
      </c>
      <c r="G178" s="10" t="str">
        <f>VLOOKUP($A178,'Institution Evaluation'!$A$56:$K$346,7,0)&amp;""</f>
        <v>Yes</v>
      </c>
      <c r="H178" s="10" t="str">
        <f>VLOOKUP($A178,'Institution Evaluation'!$A$56:$K$346,8,0)&amp;""</f>
        <v/>
      </c>
      <c r="I178" s="10" t="str">
        <f>VLOOKUP($A178,'Institution Evaluation'!$A$56:$K$346,9,0)&amp;""</f>
        <v>Minor Importance</v>
      </c>
      <c r="J178" s="10" t="str">
        <f>VLOOKUP($A178,'Institution Evaluation'!$A$56:$K$346,10,0)&amp;""</f>
        <v/>
      </c>
      <c r="K178" s="10">
        <f t="shared" si="31"/>
        <v>5</v>
      </c>
      <c r="L178" s="114">
        <f>IF($E178="Not Scored", "N/A",IF(AND($D178='Auto Responses'!$J$27,$H178=""),"N/A",IF(AND($D178='Auto Responses'!$J$27,$H178='Auto Responses'!$J$7),1,IF(AND($D178='Auto Responses'!$J$27,$H178='Auto Responses'!$J$8),0,IF(OR($F178=$G178,$H178='Auto Responses'!$J$7),1,0)))))</f>
        <v>1</v>
      </c>
      <c r="M178" s="10" t="str">
        <f>VLOOKUP($A178,'Institution Evaluation'!$A$56:$K$346,10,0)&amp;""</f>
        <v/>
      </c>
      <c r="N178" s="10">
        <f t="shared" si="32"/>
        <v>0</v>
      </c>
      <c r="O178" s="114">
        <f t="shared" ref="O178:O180" si="39">IF(OR($F$17="No",$E178="Not Scored"),"N/A",IF($J178="",$K178,IF($J178="Minor Importance",5,IF($J178="Standard Importance",10,IF($J178="Critical Importance",20,0)))))</f>
        <v>5</v>
      </c>
      <c r="P178" s="114">
        <f t="shared" si="34"/>
        <v>5</v>
      </c>
      <c r="Q178" s="114">
        <f t="shared" si="26"/>
        <v>0</v>
      </c>
      <c r="R178" s="114">
        <f t="shared" si="35"/>
        <v>0</v>
      </c>
      <c r="S178" s="114">
        <f t="shared" si="27"/>
        <v>0</v>
      </c>
      <c r="T178" s="114">
        <f t="shared" si="28"/>
        <v>0</v>
      </c>
      <c r="U178" s="114">
        <f t="shared" si="36"/>
        <v>54</v>
      </c>
      <c r="V178" s="114">
        <f t="shared" si="29"/>
        <v>0</v>
      </c>
    </row>
    <row r="179" spans="1:22" ht="56" x14ac:dyDescent="0.3">
      <c r="A179" s="10" t="str">
        <f>Questions!$A179</f>
        <v>HFIH-03</v>
      </c>
      <c r="B179" s="10" t="str">
        <f t="shared" si="30"/>
        <v>HFIH</v>
      </c>
      <c r="C179" s="10" t="str">
        <f>VLOOKUP($A179,Questions!$A$3:$L$333,2,0)&amp;""</f>
        <v>Do you have the capability to respond to incidents on a 24 x 7 x 365 basis?</v>
      </c>
      <c r="D179" s="10" t="str">
        <f>VLOOKUP($A179,Questions!$A$3:$L$333,11,0)&amp;""</f>
        <v/>
      </c>
      <c r="E179" s="10" t="str">
        <f>VLOOKUP($A179,Questions!$A$3:$L$333,12,0)&amp;""</f>
        <v>Infrastructure</v>
      </c>
      <c r="F179" s="10" t="str">
        <f>VLOOKUP($A179,'Institution Evaluation'!$A$56:$K$346,3,0)&amp;""</f>
        <v>Yes</v>
      </c>
      <c r="G179" s="10" t="str">
        <f>VLOOKUP($A179,'Institution Evaluation'!$A$56:$K$346,7,0)&amp;""</f>
        <v>Yes</v>
      </c>
      <c r="H179" s="10" t="str">
        <f>VLOOKUP($A179,'Institution Evaluation'!$A$56:$K$346,8,0)&amp;""</f>
        <v/>
      </c>
      <c r="I179" s="10" t="str">
        <f>VLOOKUP($A179,'Institution Evaluation'!$A$56:$K$346,9,0)&amp;""</f>
        <v>Minor Importance</v>
      </c>
      <c r="J179" s="10" t="str">
        <f>VLOOKUP($A179,'Institution Evaluation'!$A$56:$K$346,10,0)&amp;""</f>
        <v/>
      </c>
      <c r="K179" s="10">
        <f t="shared" si="31"/>
        <v>5</v>
      </c>
      <c r="L179" s="114">
        <f>IF($E179="Not Scored", "N/A",IF(AND($D179='Auto Responses'!$J$27,$H179=""),"N/A",IF(AND($D179='Auto Responses'!$J$27,$H179='Auto Responses'!$J$7),1,IF(AND($D179='Auto Responses'!$J$27,$H179='Auto Responses'!$J$8),0,IF(OR($F179=$G179,$H179='Auto Responses'!$J$7),1,0)))))</f>
        <v>1</v>
      </c>
      <c r="M179" s="10" t="str">
        <f>VLOOKUP($A179,'Institution Evaluation'!$A$56:$K$346,10,0)&amp;""</f>
        <v/>
      </c>
      <c r="N179" s="10">
        <f t="shared" si="32"/>
        <v>0</v>
      </c>
      <c r="O179" s="114">
        <f t="shared" si="39"/>
        <v>5</v>
      </c>
      <c r="P179" s="114">
        <f t="shared" si="34"/>
        <v>5</v>
      </c>
      <c r="Q179" s="114">
        <f t="shared" si="26"/>
        <v>0</v>
      </c>
      <c r="R179" s="114">
        <f t="shared" si="35"/>
        <v>0</v>
      </c>
      <c r="S179" s="114">
        <f t="shared" si="27"/>
        <v>0</v>
      </c>
      <c r="T179" s="114">
        <f t="shared" si="28"/>
        <v>0</v>
      </c>
      <c r="U179" s="114">
        <f t="shared" si="36"/>
        <v>54</v>
      </c>
      <c r="V179" s="114">
        <f t="shared" si="29"/>
        <v>0</v>
      </c>
    </row>
    <row r="180" spans="1:22" ht="56" x14ac:dyDescent="0.3">
      <c r="A180" s="10" t="str">
        <f>Questions!$A180</f>
        <v>HFIH-04</v>
      </c>
      <c r="B180" s="10" t="str">
        <f t="shared" si="30"/>
        <v>HFIH</v>
      </c>
      <c r="C180" s="10" t="str">
        <f>VLOOKUP($A180,Questions!$A$3:$L$333,2,0)&amp;""</f>
        <v>Do you carry cyber-risk insurance to protect against unforeseen service outages, data that is lost or stolen, and security incidents?</v>
      </c>
      <c r="D180" s="10" t="str">
        <f>VLOOKUP($A180,Questions!$A$3:$L$333,11,0)&amp;""</f>
        <v/>
      </c>
      <c r="E180" s="10" t="str">
        <f>VLOOKUP($A180,Questions!$A$3:$L$333,12,0)&amp;""</f>
        <v>Infrastructure</v>
      </c>
      <c r="F180" s="10" t="str">
        <f>VLOOKUP($A180,'Institution Evaluation'!$A$56:$K$346,3,0)&amp;""</f>
        <v>Yes</v>
      </c>
      <c r="G180" s="10" t="str">
        <f>VLOOKUP($A180,'Institution Evaluation'!$A$56:$K$346,7,0)&amp;""</f>
        <v>Yes</v>
      </c>
      <c r="H180" s="10" t="str">
        <f>VLOOKUP($A180,'Institution Evaluation'!$A$56:$K$346,8,0)&amp;""</f>
        <v/>
      </c>
      <c r="I180" s="10" t="str">
        <f>VLOOKUP($A180,'Institution Evaluation'!$A$56:$K$346,9,0)&amp;""</f>
        <v>Minor Importance</v>
      </c>
      <c r="J180" s="10" t="str">
        <f>VLOOKUP($A180,'Institution Evaluation'!$A$56:$K$346,10,0)&amp;""</f>
        <v/>
      </c>
      <c r="K180" s="10">
        <f t="shared" si="31"/>
        <v>5</v>
      </c>
      <c r="L180" s="114">
        <f>IF($E180="Not Scored", "N/A",IF(AND($D180='Auto Responses'!$J$27,$H180=""),"N/A",IF(AND($D180='Auto Responses'!$J$27,$H180='Auto Responses'!$J$7),1,IF(AND($D180='Auto Responses'!$J$27,$H180='Auto Responses'!$J$8),0,IF(OR($F180=$G180,$H180='Auto Responses'!$J$7),1,0)))))</f>
        <v>1</v>
      </c>
      <c r="M180" s="10" t="str">
        <f>VLOOKUP($A180,'Institution Evaluation'!$A$56:$K$346,10,0)&amp;""</f>
        <v/>
      </c>
      <c r="N180" s="10">
        <f t="shared" si="32"/>
        <v>0</v>
      </c>
      <c r="O180" s="114">
        <f t="shared" si="39"/>
        <v>5</v>
      </c>
      <c r="P180" s="114">
        <f t="shared" si="34"/>
        <v>5</v>
      </c>
      <c r="Q180" s="114">
        <f t="shared" si="26"/>
        <v>0</v>
      </c>
      <c r="R180" s="114">
        <f t="shared" si="35"/>
        <v>0</v>
      </c>
      <c r="S180" s="114">
        <f t="shared" si="27"/>
        <v>0</v>
      </c>
      <c r="T180" s="114">
        <f t="shared" si="28"/>
        <v>0</v>
      </c>
      <c r="U180" s="114">
        <f t="shared" si="36"/>
        <v>54</v>
      </c>
      <c r="V180" s="114">
        <f t="shared" si="29"/>
        <v>0</v>
      </c>
    </row>
    <row r="181" spans="1:22" ht="56" x14ac:dyDescent="0.3">
      <c r="A181" s="10" t="str">
        <f>Questions!$A181</f>
        <v>VULN-01</v>
      </c>
      <c r="B181" s="10" t="str">
        <f t="shared" si="30"/>
        <v>VULN</v>
      </c>
      <c r="C181" s="10" t="str">
        <f>VLOOKUP($A181,Questions!$A$3:$L$333,2,0)&amp;""</f>
        <v>Are your systems and applications scanned with an authenticated user account for vulnerabilities (that are remediated) prior to new releases?*</v>
      </c>
      <c r="D181" s="10" t="str">
        <f>VLOOKUP($A181,Questions!$A$3:$L$333,11,0)&amp;""</f>
        <v/>
      </c>
      <c r="E181" s="10" t="str">
        <f>VLOOKUP($A181,Questions!$A$3:$L$333,12,0)&amp;""</f>
        <v>Infrastructure</v>
      </c>
      <c r="F181" s="10" t="str">
        <f>VLOOKUP($A181,'Institution Evaluation'!$A$56:$K$346,3,0)&amp;""</f>
        <v>No</v>
      </c>
      <c r="G181" s="10" t="str">
        <f>VLOOKUP($A181,'Institution Evaluation'!$A$56:$K$346,7,0)&amp;""</f>
        <v>Yes</v>
      </c>
      <c r="H181" s="10" t="str">
        <f>VLOOKUP($A181,'Institution Evaluation'!$A$56:$K$346,8,0)&amp;""</f>
        <v/>
      </c>
      <c r="I181" s="10" t="str">
        <f>VLOOKUP($A181,'Institution Evaluation'!$A$56:$K$346,9,0)&amp;""</f>
        <v>Critical Importance</v>
      </c>
      <c r="J181" s="10" t="str">
        <f>VLOOKUP($A181,'Institution Evaluation'!$A$56:$K$346,10,0)&amp;""</f>
        <v/>
      </c>
      <c r="K181" s="10">
        <f t="shared" si="31"/>
        <v>20</v>
      </c>
      <c r="L181" s="114">
        <f>IF($E181="Not Scored", "N/A",IF(AND($D181='Auto Responses'!$J$27,$H181=""),"N/A",IF(AND($D181='Auto Responses'!$J$27,$H181='Auto Responses'!$J$7),1,IF(AND($D181='Auto Responses'!$J$27,$H181='Auto Responses'!$J$8),0,IF(OR($F181=$G181,$H181='Auto Responses'!$J$7),1,0)))))</f>
        <v>0</v>
      </c>
      <c r="M181" s="10" t="str">
        <f>VLOOKUP($A181,'Institution Evaluation'!$A$56:$K$346,10,0)&amp;""</f>
        <v/>
      </c>
      <c r="N181" s="10">
        <f t="shared" si="32"/>
        <v>1</v>
      </c>
      <c r="O181" s="114">
        <f>IF(OR($F$17="No",$E181="Not Scored"),"N/A",IF($J181="",$K181,IF($J181="Minor Importance",5,IF($J181="Standard Importance",10,IF($J181="Critical Importance",20,0)))))</f>
        <v>20</v>
      </c>
      <c r="P181" s="114">
        <f t="shared" si="34"/>
        <v>0</v>
      </c>
      <c r="Q181" s="114">
        <f t="shared" si="26"/>
        <v>0</v>
      </c>
      <c r="R181" s="114">
        <f t="shared" si="35"/>
        <v>0</v>
      </c>
      <c r="S181" s="114">
        <f t="shared" si="27"/>
        <v>0</v>
      </c>
      <c r="T181" s="114">
        <f t="shared" si="28"/>
        <v>1</v>
      </c>
      <c r="U181" s="114">
        <f t="shared" si="36"/>
        <v>55</v>
      </c>
      <c r="V181" s="114">
        <f t="shared" si="29"/>
        <v>55</v>
      </c>
    </row>
    <row r="182" spans="1:22" ht="56" x14ac:dyDescent="0.3">
      <c r="A182" s="10" t="str">
        <f>Questions!$A182</f>
        <v>VULN-02</v>
      </c>
      <c r="B182" s="10" t="str">
        <f t="shared" si="30"/>
        <v>VULN</v>
      </c>
      <c r="C182" s="10" t="str">
        <f>VLOOKUP($A182,Questions!$A$3:$L$333,2,0)&amp;""</f>
        <v>Will you provide results of application and system vulnerability scans to the institution?*</v>
      </c>
      <c r="D182" s="10" t="str">
        <f>VLOOKUP($A182,Questions!$A$3:$L$333,11,0)&amp;""</f>
        <v/>
      </c>
      <c r="E182" s="10" t="str">
        <f>VLOOKUP($A182,Questions!$A$3:$L$333,12,0)&amp;""</f>
        <v>Infrastructure</v>
      </c>
      <c r="F182" s="10" t="str">
        <f>VLOOKUP($A182,'Institution Evaluation'!$A$56:$K$346,3,0)&amp;""</f>
        <v>Yes</v>
      </c>
      <c r="G182" s="10" t="str">
        <f>VLOOKUP($A182,'Institution Evaluation'!$A$56:$K$346,7,0)&amp;""</f>
        <v>Yes</v>
      </c>
      <c r="H182" s="10" t="str">
        <f>VLOOKUP($A182,'Institution Evaluation'!$A$56:$K$346,8,0)&amp;""</f>
        <v/>
      </c>
      <c r="I182" s="10" t="str">
        <f>VLOOKUP($A182,'Institution Evaluation'!$A$56:$K$346,9,0)&amp;""</f>
        <v>Critical Importance</v>
      </c>
      <c r="J182" s="10" t="str">
        <f>VLOOKUP($A182,'Institution Evaluation'!$A$56:$K$346,10,0)&amp;""</f>
        <v/>
      </c>
      <c r="K182" s="10">
        <f t="shared" si="31"/>
        <v>20</v>
      </c>
      <c r="L182" s="114">
        <f>IF($E182="Not Scored", "N/A",IF(AND($D182='Auto Responses'!$J$27,$H182=""),"N/A",IF(AND($D182='Auto Responses'!$J$27,$H182='Auto Responses'!$J$7),1,IF(AND($D182='Auto Responses'!$J$27,$H182='Auto Responses'!$J$8),0,IF(OR($F182=$G182,$H182='Auto Responses'!$J$7),1,0)))))</f>
        <v>1</v>
      </c>
      <c r="M182" s="10" t="str">
        <f>VLOOKUP($A182,'Institution Evaluation'!$A$56:$K$346,10,0)&amp;""</f>
        <v/>
      </c>
      <c r="N182" s="10">
        <f t="shared" si="32"/>
        <v>1</v>
      </c>
      <c r="O182" s="114">
        <f t="shared" ref="O182:O186" si="40">IF(OR($F$17="No",$E182="Not Scored"),"N/A",IF($J182="",$K182,IF($J182="Minor Importance",5,IF($J182="Standard Importance",10,IF($J182="Critical Importance",20,0)))))</f>
        <v>20</v>
      </c>
      <c r="P182" s="114">
        <f t="shared" si="34"/>
        <v>20</v>
      </c>
      <c r="Q182" s="114">
        <f t="shared" si="26"/>
        <v>0</v>
      </c>
      <c r="R182" s="114">
        <f t="shared" si="35"/>
        <v>0</v>
      </c>
      <c r="S182" s="114">
        <f t="shared" si="27"/>
        <v>0</v>
      </c>
      <c r="T182" s="114">
        <f t="shared" si="28"/>
        <v>1</v>
      </c>
      <c r="U182" s="114">
        <f t="shared" si="36"/>
        <v>56</v>
      </c>
      <c r="V182" s="114">
        <f t="shared" si="29"/>
        <v>56</v>
      </c>
    </row>
    <row r="183" spans="1:22" ht="56" x14ac:dyDescent="0.3">
      <c r="A183" s="10" t="str">
        <f>Questions!$A183</f>
        <v>VULN-03</v>
      </c>
      <c r="B183" s="10" t="str">
        <f t="shared" si="30"/>
        <v>VULN</v>
      </c>
      <c r="C183" s="10" t="str">
        <f>VLOOKUP($A183,Questions!$A$3:$L$333,2,0)&amp;""</f>
        <v>Will you allow the institution to perform its own vulnerability testing and/or scanning of your systems and/or application, provided that testing is performed at a mutually agreed upon time and date?*</v>
      </c>
      <c r="D183" s="10" t="str">
        <f>VLOOKUP($A183,Questions!$A$3:$L$333,11,0)&amp;""</f>
        <v/>
      </c>
      <c r="E183" s="10" t="str">
        <f>VLOOKUP($A183,Questions!$A$3:$L$333,12,0)&amp;""</f>
        <v>Infrastructure</v>
      </c>
      <c r="F183" s="10" t="str">
        <f>VLOOKUP($A183,'Institution Evaluation'!$A$56:$K$346,3,0)&amp;""</f>
        <v>No</v>
      </c>
      <c r="G183" s="10" t="str">
        <f>VLOOKUP($A183,'Institution Evaluation'!$A$56:$K$346,7,0)&amp;""</f>
        <v>Yes</v>
      </c>
      <c r="H183" s="10" t="str">
        <f>VLOOKUP($A183,'Institution Evaluation'!$A$56:$K$346,8,0)&amp;""</f>
        <v/>
      </c>
      <c r="I183" s="10" t="str">
        <f>VLOOKUP($A183,'Institution Evaluation'!$A$56:$K$346,9,0)&amp;""</f>
        <v>Critical Importance</v>
      </c>
      <c r="J183" s="10" t="str">
        <f>VLOOKUP($A183,'Institution Evaluation'!$A$56:$K$346,10,0)&amp;""</f>
        <v/>
      </c>
      <c r="K183" s="10">
        <f t="shared" si="31"/>
        <v>20</v>
      </c>
      <c r="L183" s="114">
        <f>IF($E183="Not Scored", "N/A",IF(AND($D183='Auto Responses'!$J$27,$H183=""),"N/A",IF(AND($D183='Auto Responses'!$J$27,$H183='Auto Responses'!$J$7),1,IF(AND($D183='Auto Responses'!$J$27,$H183='Auto Responses'!$J$8),0,IF(OR($F183=$G183,$H183='Auto Responses'!$J$7),1,0)))))</f>
        <v>0</v>
      </c>
      <c r="M183" s="10" t="str">
        <f>VLOOKUP($A183,'Institution Evaluation'!$A$56:$K$346,10,0)&amp;""</f>
        <v/>
      </c>
      <c r="N183" s="10">
        <f t="shared" si="32"/>
        <v>1</v>
      </c>
      <c r="O183" s="114">
        <f t="shared" si="40"/>
        <v>20</v>
      </c>
      <c r="P183" s="114">
        <f t="shared" si="34"/>
        <v>0</v>
      </c>
      <c r="Q183" s="114">
        <f t="shared" si="26"/>
        <v>0</v>
      </c>
      <c r="R183" s="114">
        <f t="shared" si="35"/>
        <v>0</v>
      </c>
      <c r="S183" s="114">
        <f t="shared" si="27"/>
        <v>0</v>
      </c>
      <c r="T183" s="114">
        <f t="shared" si="28"/>
        <v>1</v>
      </c>
      <c r="U183" s="114">
        <f t="shared" si="36"/>
        <v>57</v>
      </c>
      <c r="V183" s="114">
        <f t="shared" si="29"/>
        <v>57</v>
      </c>
    </row>
    <row r="184" spans="1:22" ht="56" x14ac:dyDescent="0.3">
      <c r="A184" s="10" t="str">
        <f>Questions!$A184</f>
        <v>VULN-04</v>
      </c>
      <c r="B184" s="10" t="str">
        <f t="shared" si="30"/>
        <v>VULN</v>
      </c>
      <c r="C184" s="10" t="str">
        <f>VLOOKUP($A184,Questions!$A$3:$L$333,2,0)&amp;""</f>
        <v>Have your systems and applications had a third-party security assessment completed in the last year?</v>
      </c>
      <c r="D184" s="10" t="str">
        <f>VLOOKUP($A184,Questions!$A$3:$L$333,11,0)&amp;""</f>
        <v/>
      </c>
      <c r="E184" s="10" t="str">
        <f>VLOOKUP($A184,Questions!$A$3:$L$333,12,0)&amp;""</f>
        <v>Infrastructure</v>
      </c>
      <c r="F184" s="10" t="str">
        <f>VLOOKUP($A184,'Institution Evaluation'!$A$56:$K$346,3,0)&amp;""</f>
        <v>Yes</v>
      </c>
      <c r="G184" s="10" t="str">
        <f>VLOOKUP($A184,'Institution Evaluation'!$A$56:$K$346,7,0)&amp;""</f>
        <v>Yes</v>
      </c>
      <c r="H184" s="10" t="str">
        <f>VLOOKUP($A184,'Institution Evaluation'!$A$56:$K$346,8,0)&amp;""</f>
        <v/>
      </c>
      <c r="I184" s="10" t="str">
        <f>VLOOKUP($A184,'Institution Evaluation'!$A$56:$K$346,9,0)&amp;""</f>
        <v>Standard Importance</v>
      </c>
      <c r="J184" s="10" t="str">
        <f>VLOOKUP($A184,'Institution Evaluation'!$A$56:$K$346,10,0)&amp;""</f>
        <v/>
      </c>
      <c r="K184" s="10">
        <f t="shared" si="31"/>
        <v>10</v>
      </c>
      <c r="L184" s="114">
        <f>IF($E184="Not Scored", "N/A",IF(AND($D184='Auto Responses'!$J$27,$H184=""),"N/A",IF(AND($D184='Auto Responses'!$J$27,$H184='Auto Responses'!$J$7),1,IF(AND($D184='Auto Responses'!$J$27,$H184='Auto Responses'!$J$8),0,IF(OR($F184=$G184,$H184='Auto Responses'!$J$7),1,0)))))</f>
        <v>1</v>
      </c>
      <c r="M184" s="10" t="str">
        <f>VLOOKUP($A184,'Institution Evaluation'!$A$56:$K$346,10,0)&amp;""</f>
        <v/>
      </c>
      <c r="N184" s="10">
        <f t="shared" si="32"/>
        <v>0</v>
      </c>
      <c r="O184" s="114">
        <f t="shared" si="40"/>
        <v>10</v>
      </c>
      <c r="P184" s="114">
        <f t="shared" si="34"/>
        <v>10</v>
      </c>
      <c r="Q184" s="114">
        <f t="shared" si="26"/>
        <v>0</v>
      </c>
      <c r="R184" s="114">
        <f t="shared" si="35"/>
        <v>0</v>
      </c>
      <c r="S184" s="114">
        <f t="shared" si="27"/>
        <v>0</v>
      </c>
      <c r="T184" s="114">
        <f t="shared" si="28"/>
        <v>0</v>
      </c>
      <c r="U184" s="114">
        <f t="shared" si="36"/>
        <v>57</v>
      </c>
      <c r="V184" s="114">
        <f t="shared" si="29"/>
        <v>0</v>
      </c>
    </row>
    <row r="185" spans="1:22" ht="56" x14ac:dyDescent="0.3">
      <c r="A185" s="10" t="str">
        <f>Questions!$A185</f>
        <v>VULN-05</v>
      </c>
      <c r="B185" s="10" t="str">
        <f t="shared" si="30"/>
        <v>VULN</v>
      </c>
      <c r="C185" s="10" t="str">
        <f>VLOOKUP($A185,Questions!$A$3:$L$333,2,0)&amp;""</f>
        <v>Do you regularly scan for common web application security vulnerabilities (e.g., SQL injection, XSS, XSRF, etc.)?</v>
      </c>
      <c r="D185" s="10" t="str">
        <f>VLOOKUP($A185,Questions!$A$3:$L$333,11,0)&amp;""</f>
        <v/>
      </c>
      <c r="E185" s="10" t="str">
        <f>VLOOKUP($A185,Questions!$A$3:$L$333,12,0)&amp;""</f>
        <v>Infrastructure</v>
      </c>
      <c r="F185" s="10" t="str">
        <f>VLOOKUP($A185,'Institution Evaluation'!$A$56:$K$346,3,0)&amp;""</f>
        <v>No</v>
      </c>
      <c r="G185" s="10" t="str">
        <f>VLOOKUP($A185,'Institution Evaluation'!$A$56:$K$346,7,0)&amp;""</f>
        <v>Yes</v>
      </c>
      <c r="H185" s="10" t="str">
        <f>VLOOKUP($A185,'Institution Evaluation'!$A$56:$K$346,8,0)&amp;""</f>
        <v/>
      </c>
      <c r="I185" s="10" t="str">
        <f>VLOOKUP($A185,'Institution Evaluation'!$A$56:$K$346,9,0)&amp;""</f>
        <v>Standard Importance</v>
      </c>
      <c r="J185" s="10" t="str">
        <f>VLOOKUP($A185,'Institution Evaluation'!$A$56:$K$346,10,0)&amp;""</f>
        <v/>
      </c>
      <c r="K185" s="10">
        <f t="shared" si="31"/>
        <v>10</v>
      </c>
      <c r="L185" s="114">
        <f>IF($E185="Not Scored", "N/A",IF(AND($D185='Auto Responses'!$J$27,$H185=""),"N/A",IF(AND($D185='Auto Responses'!$J$27,$H185='Auto Responses'!$J$7),1,IF(AND($D185='Auto Responses'!$J$27,$H185='Auto Responses'!$J$8),0,IF(OR($F185=$G185,$H185='Auto Responses'!$J$7),1,0)))))</f>
        <v>0</v>
      </c>
      <c r="M185" s="10" t="str">
        <f>VLOOKUP($A185,'Institution Evaluation'!$A$56:$K$346,10,0)&amp;""</f>
        <v/>
      </c>
      <c r="N185" s="10">
        <f t="shared" si="32"/>
        <v>0</v>
      </c>
      <c r="O185" s="114">
        <f t="shared" si="40"/>
        <v>10</v>
      </c>
      <c r="P185" s="114">
        <f t="shared" si="34"/>
        <v>0</v>
      </c>
      <c r="Q185" s="114">
        <f t="shared" si="26"/>
        <v>0</v>
      </c>
      <c r="R185" s="114">
        <f t="shared" si="35"/>
        <v>0</v>
      </c>
      <c r="S185" s="114">
        <f t="shared" si="27"/>
        <v>0</v>
      </c>
      <c r="T185" s="114">
        <f t="shared" si="28"/>
        <v>0</v>
      </c>
      <c r="U185" s="114">
        <f t="shared" si="36"/>
        <v>57</v>
      </c>
      <c r="V185" s="114">
        <f t="shared" si="29"/>
        <v>0</v>
      </c>
    </row>
    <row r="186" spans="1:22" ht="56" x14ac:dyDescent="0.3">
      <c r="A186" s="10" t="str">
        <f>Questions!$A186</f>
        <v>VULN-06</v>
      </c>
      <c r="B186" s="10" t="str">
        <f t="shared" si="30"/>
        <v>VULN</v>
      </c>
      <c r="C186" s="10" t="str">
        <f>VLOOKUP($A186,Questions!$A$3:$L$333,2,0)&amp;""</f>
        <v>Are your systems and applications regularly scanned externally for vulnerabilities?</v>
      </c>
      <c r="D186" s="10" t="str">
        <f>VLOOKUP($A186,Questions!$A$3:$L$333,11,0)&amp;""</f>
        <v/>
      </c>
      <c r="E186" s="10" t="str">
        <f>VLOOKUP($A186,Questions!$A$3:$L$333,12,0)&amp;""</f>
        <v>Infrastructure</v>
      </c>
      <c r="F186" s="10" t="str">
        <f>VLOOKUP($A186,'Institution Evaluation'!$A$56:$K$346,3,0)&amp;""</f>
        <v>Yes</v>
      </c>
      <c r="G186" s="10" t="str">
        <f>VLOOKUP($A186,'Institution Evaluation'!$A$56:$K$346,7,0)&amp;""</f>
        <v>Yes</v>
      </c>
      <c r="H186" s="10" t="str">
        <f>VLOOKUP($A186,'Institution Evaluation'!$A$56:$K$346,8,0)&amp;""</f>
        <v/>
      </c>
      <c r="I186" s="10" t="str">
        <f>VLOOKUP($A186,'Institution Evaluation'!$A$56:$K$346,9,0)&amp;""</f>
        <v>Minor Importance</v>
      </c>
      <c r="J186" s="10" t="str">
        <f>VLOOKUP($A186,'Institution Evaluation'!$A$56:$K$346,10,0)&amp;""</f>
        <v/>
      </c>
      <c r="K186" s="10">
        <f t="shared" si="31"/>
        <v>5</v>
      </c>
      <c r="L186" s="114">
        <f>IF($E186="Not Scored", "N/A",IF(AND($D186='Auto Responses'!$J$27,$H186=""),"N/A",IF(AND($D186='Auto Responses'!$J$27,$H186='Auto Responses'!$J$7),1,IF(AND($D186='Auto Responses'!$J$27,$H186='Auto Responses'!$J$8),0,IF(OR($F186=$G186,$H186='Auto Responses'!$J$7),1,0)))))</f>
        <v>1</v>
      </c>
      <c r="M186" s="10" t="str">
        <f>VLOOKUP($A186,'Institution Evaluation'!$A$56:$K$346,10,0)&amp;""</f>
        <v/>
      </c>
      <c r="N186" s="10">
        <f t="shared" si="32"/>
        <v>0</v>
      </c>
      <c r="O186" s="114">
        <f t="shared" si="40"/>
        <v>5</v>
      </c>
      <c r="P186" s="114">
        <f t="shared" si="34"/>
        <v>5</v>
      </c>
      <c r="Q186" s="114">
        <f t="shared" si="26"/>
        <v>0</v>
      </c>
      <c r="R186" s="114">
        <f t="shared" si="35"/>
        <v>0</v>
      </c>
      <c r="S186" s="114">
        <f t="shared" si="27"/>
        <v>0</v>
      </c>
      <c r="T186" s="114">
        <f t="shared" si="28"/>
        <v>0</v>
      </c>
      <c r="U186" s="114">
        <f t="shared" si="36"/>
        <v>57</v>
      </c>
      <c r="V186" s="114">
        <f t="shared" si="29"/>
        <v>0</v>
      </c>
    </row>
    <row r="187" spans="1:22" ht="56" x14ac:dyDescent="0.3">
      <c r="A187" s="10" t="str">
        <f>Questions!$A187</f>
        <v>HIPA-01</v>
      </c>
      <c r="B187" s="10" t="str">
        <f t="shared" si="30"/>
        <v>HIPA</v>
      </c>
      <c r="C187" s="10" t="str">
        <f>VLOOKUP($A187,Questions!$A$3:$L$333,2,0)&amp;""</f>
        <v>Do your workforce members receive regular training related to the Health Insurance Portability and Accountability Act (HIPAA) Privacy and Security Rules and the HITECH Act?*</v>
      </c>
      <c r="D187" s="10" t="str">
        <f>VLOOKUP($A187,Questions!$A$3:$L$333,11,0)&amp;""</f>
        <v/>
      </c>
      <c r="E187" s="10" t="str">
        <f>VLOOKUP($A187,Questions!$A$3:$L$333,12,0)&amp;""</f>
        <v>Case-specific</v>
      </c>
      <c r="F187" s="10" t="str">
        <f>VLOOKUP($A187,'Institution Evaluation'!$A$56:$K$346,3,0)&amp;""</f>
        <v/>
      </c>
      <c r="G187" s="10" t="str">
        <f>VLOOKUP($A187,'Institution Evaluation'!$A$56:$K$346,7,0)&amp;""</f>
        <v>Yes</v>
      </c>
      <c r="H187" s="10" t="str">
        <f>VLOOKUP($A187,'Institution Evaluation'!$A$56:$K$346,8,0)&amp;""</f>
        <v/>
      </c>
      <c r="I187" s="10" t="str">
        <f>VLOOKUP($A187,'Institution Evaluation'!$A$56:$K$346,9,0)&amp;""</f>
        <v>Critical Importance</v>
      </c>
      <c r="J187" s="10" t="str">
        <f>VLOOKUP($A187,'Institution Evaluation'!$A$56:$K$346,10,0)&amp;""</f>
        <v/>
      </c>
      <c r="K187" s="10">
        <f t="shared" si="31"/>
        <v>20</v>
      </c>
      <c r="L187" s="114">
        <f>IF($E187="Not Scored", "N/A",IF(AND($D187='Auto Responses'!$J$27,$H187=""),"N/A",IF(AND($D187='Auto Responses'!$J$27,$H187='Auto Responses'!$J$7),1,IF(AND($D187='Auto Responses'!$J$27,$H187='Auto Responses'!$J$8),0,IF(OR($F187=$G187,$H187='Auto Responses'!$J$7),1,0)))))</f>
        <v>0</v>
      </c>
      <c r="M187" s="10" t="str">
        <f>VLOOKUP($A187,'Institution Evaluation'!$A$56:$K$346,10,0)&amp;""</f>
        <v/>
      </c>
      <c r="N187" s="10">
        <f t="shared" si="32"/>
        <v>1</v>
      </c>
      <c r="O187" s="114" t="str">
        <f>IF(OR($F$21="No",$E187="Not Scored"),"N/A",IF($J187="",$K187,IF($J187="Minor Importance",5,IF($J187="Standard Importance",10,IF($J187="Critical Importance",20,0)))))</f>
        <v>N/A</v>
      </c>
      <c r="P187" s="114" t="str">
        <f t="shared" si="34"/>
        <v>N/A</v>
      </c>
      <c r="Q187" s="114">
        <f t="shared" si="26"/>
        <v>0</v>
      </c>
      <c r="R187" s="114">
        <f t="shared" si="35"/>
        <v>0</v>
      </c>
      <c r="S187" s="114">
        <f t="shared" si="27"/>
        <v>0</v>
      </c>
      <c r="T187" s="114">
        <f t="shared" si="28"/>
        <v>1</v>
      </c>
      <c r="U187" s="114">
        <f t="shared" si="36"/>
        <v>58</v>
      </c>
      <c r="V187" s="114">
        <f t="shared" si="29"/>
        <v>58</v>
      </c>
    </row>
    <row r="188" spans="1:22" ht="56" x14ac:dyDescent="0.3">
      <c r="A188" s="10" t="str">
        <f>Questions!$A188</f>
        <v>HIPA-02</v>
      </c>
      <c r="B188" s="10" t="str">
        <f t="shared" si="30"/>
        <v>HIPA</v>
      </c>
      <c r="C188" s="10" t="str">
        <f>VLOOKUP($A188,Questions!$A$3:$L$333,2,0)&amp;""</f>
        <v>Have you identified areas of risk?*</v>
      </c>
      <c r="D188" s="10" t="str">
        <f>VLOOKUP($A188,Questions!$A$3:$L$333,11,0)&amp;""</f>
        <v/>
      </c>
      <c r="E188" s="10" t="str">
        <f>VLOOKUP($A188,Questions!$A$3:$L$333,12,0)&amp;""</f>
        <v>Case-specific</v>
      </c>
      <c r="F188" s="10" t="str">
        <f>VLOOKUP($A188,'Institution Evaluation'!$A$56:$K$346,3,0)&amp;""</f>
        <v/>
      </c>
      <c r="G188" s="10" t="str">
        <f>VLOOKUP($A188,'Institution Evaluation'!$A$56:$K$346,7,0)&amp;""</f>
        <v>Yes</v>
      </c>
      <c r="H188" s="10" t="str">
        <f>VLOOKUP($A188,'Institution Evaluation'!$A$56:$K$346,8,0)&amp;""</f>
        <v/>
      </c>
      <c r="I188" s="10" t="str">
        <f>VLOOKUP($A188,'Institution Evaluation'!$A$56:$K$346,9,0)&amp;""</f>
        <v>Critical Importance</v>
      </c>
      <c r="J188" s="10" t="str">
        <f>VLOOKUP($A188,'Institution Evaluation'!$A$56:$K$346,10,0)&amp;""</f>
        <v/>
      </c>
      <c r="K188" s="10">
        <f t="shared" si="31"/>
        <v>20</v>
      </c>
      <c r="L188" s="114">
        <f>IF($E188="Not Scored", "N/A",IF(AND($D188='Auto Responses'!$J$27,$H188=""),"N/A",IF(AND($D188='Auto Responses'!$J$27,$H188='Auto Responses'!$J$7),1,IF(AND($D188='Auto Responses'!$J$27,$H188='Auto Responses'!$J$8),0,IF(OR($F188=$G188,$H188='Auto Responses'!$J$7),1,0)))))</f>
        <v>0</v>
      </c>
      <c r="M188" s="10" t="str">
        <f>VLOOKUP($A188,'Institution Evaluation'!$A$56:$K$346,10,0)&amp;""</f>
        <v/>
      </c>
      <c r="N188" s="10">
        <f t="shared" si="32"/>
        <v>1</v>
      </c>
      <c r="O188" s="114" t="str">
        <f t="shared" ref="O188:O215" si="41">IF(OR($F$21="No",$E188="Not Scored"),"N/A",IF($J188="",$K188,IF($J188="Minor Importance",5,IF($J188="Standard Importance",10,IF($J188="Critical Importance",20,0)))))</f>
        <v>N/A</v>
      </c>
      <c r="P188" s="114" t="str">
        <f t="shared" si="34"/>
        <v>N/A</v>
      </c>
      <c r="Q188" s="114">
        <f t="shared" si="26"/>
        <v>0</v>
      </c>
      <c r="R188" s="114">
        <f t="shared" si="35"/>
        <v>0</v>
      </c>
      <c r="S188" s="114">
        <f t="shared" si="27"/>
        <v>0</v>
      </c>
      <c r="T188" s="114">
        <f t="shared" si="28"/>
        <v>1</v>
      </c>
      <c r="U188" s="114">
        <f t="shared" si="36"/>
        <v>59</v>
      </c>
      <c r="V188" s="114">
        <f t="shared" si="29"/>
        <v>59</v>
      </c>
    </row>
    <row r="189" spans="1:22" ht="56" x14ac:dyDescent="0.3">
      <c r="A189" s="10" t="str">
        <f>Questions!$A189</f>
        <v>HIPA-03</v>
      </c>
      <c r="B189" s="10" t="str">
        <f t="shared" si="30"/>
        <v>HIPA</v>
      </c>
      <c r="C189" s="10" t="str">
        <f>VLOOKUP($A189,Questions!$A$3:$L$333,2,0)&amp;""</f>
        <v>Have the relevant policies/plans been tested?*</v>
      </c>
      <c r="D189" s="10" t="str">
        <f>VLOOKUP($A189,Questions!$A$3:$L$333,11,0)&amp;""</f>
        <v/>
      </c>
      <c r="E189" s="10" t="str">
        <f>VLOOKUP($A189,Questions!$A$3:$L$333,12,0)&amp;""</f>
        <v>Case-specific</v>
      </c>
      <c r="F189" s="10" t="str">
        <f>VLOOKUP($A189,'Institution Evaluation'!$A$56:$K$346,3,0)&amp;""</f>
        <v/>
      </c>
      <c r="G189" s="10" t="str">
        <f>VLOOKUP($A189,'Institution Evaluation'!$A$56:$K$346,7,0)&amp;""</f>
        <v>Yes</v>
      </c>
      <c r="H189" s="10" t="str">
        <f>VLOOKUP($A189,'Institution Evaluation'!$A$56:$K$346,8,0)&amp;""</f>
        <v/>
      </c>
      <c r="I189" s="10" t="str">
        <f>VLOOKUP($A189,'Institution Evaluation'!$A$56:$K$346,9,0)&amp;""</f>
        <v>Critical Importance</v>
      </c>
      <c r="J189" s="10" t="str">
        <f>VLOOKUP($A189,'Institution Evaluation'!$A$56:$K$346,10,0)&amp;""</f>
        <v/>
      </c>
      <c r="K189" s="10">
        <f t="shared" si="31"/>
        <v>20</v>
      </c>
      <c r="L189" s="114">
        <f>IF($E189="Not Scored", "N/A",IF(AND($D189='Auto Responses'!$J$27,$H189=""),"N/A",IF(AND($D189='Auto Responses'!$J$27,$H189='Auto Responses'!$J$7),1,IF(AND($D189='Auto Responses'!$J$27,$H189='Auto Responses'!$J$8),0,IF(OR($F189=$G189,$H189='Auto Responses'!$J$7),1,0)))))</f>
        <v>0</v>
      </c>
      <c r="M189" s="10" t="str">
        <f>VLOOKUP($A189,'Institution Evaluation'!$A$56:$K$346,10,0)&amp;""</f>
        <v/>
      </c>
      <c r="N189" s="10">
        <f t="shared" si="32"/>
        <v>1</v>
      </c>
      <c r="O189" s="114" t="str">
        <f t="shared" si="41"/>
        <v>N/A</v>
      </c>
      <c r="P189" s="114" t="str">
        <f t="shared" si="34"/>
        <v>N/A</v>
      </c>
      <c r="Q189" s="114">
        <f t="shared" si="26"/>
        <v>0</v>
      </c>
      <c r="R189" s="114">
        <f t="shared" si="35"/>
        <v>0</v>
      </c>
      <c r="S189" s="114">
        <f t="shared" si="27"/>
        <v>0</v>
      </c>
      <c r="T189" s="114">
        <f t="shared" si="28"/>
        <v>1</v>
      </c>
      <c r="U189" s="114">
        <f t="shared" si="36"/>
        <v>60</v>
      </c>
      <c r="V189" s="114">
        <f t="shared" si="29"/>
        <v>60</v>
      </c>
    </row>
    <row r="190" spans="1:22" ht="56" x14ac:dyDescent="0.3">
      <c r="A190" s="10" t="str">
        <f>Questions!$A190</f>
        <v>HIPA-04</v>
      </c>
      <c r="B190" s="10" t="str">
        <f t="shared" si="30"/>
        <v>HIPA</v>
      </c>
      <c r="C190" s="10" t="str">
        <f>VLOOKUP($A190,Questions!$A$3:$L$333,2,0)&amp;""</f>
        <v>Have you entered into a Business Associate Agreements with all subcontractors who may have access to protected health information (PHI)?*</v>
      </c>
      <c r="D190" s="10" t="str">
        <f>VLOOKUP($A190,Questions!$A$3:$L$333,11,0)&amp;""</f>
        <v/>
      </c>
      <c r="E190" s="10" t="str">
        <f>VLOOKUP($A190,Questions!$A$3:$L$333,12,0)&amp;""</f>
        <v>Case-specific</v>
      </c>
      <c r="F190" s="10" t="str">
        <f>VLOOKUP($A190,'Institution Evaluation'!$A$56:$K$346,3,0)&amp;""</f>
        <v/>
      </c>
      <c r="G190" s="10" t="str">
        <f>VLOOKUP($A190,'Institution Evaluation'!$A$56:$K$346,7,0)&amp;""</f>
        <v>Yes</v>
      </c>
      <c r="H190" s="10" t="str">
        <f>VLOOKUP($A190,'Institution Evaluation'!$A$56:$K$346,8,0)&amp;""</f>
        <v/>
      </c>
      <c r="I190" s="10" t="str">
        <f>VLOOKUP($A190,'Institution Evaluation'!$A$56:$K$346,9,0)&amp;""</f>
        <v>Critical Importance</v>
      </c>
      <c r="J190" s="10" t="str">
        <f>VLOOKUP($A190,'Institution Evaluation'!$A$56:$K$346,10,0)&amp;""</f>
        <v/>
      </c>
      <c r="K190" s="10">
        <f t="shared" si="31"/>
        <v>20</v>
      </c>
      <c r="L190" s="114">
        <f>IF($E190="Not Scored", "N/A",IF(AND($D190='Auto Responses'!$J$27,$H190=""),"N/A",IF(AND($D190='Auto Responses'!$J$27,$H190='Auto Responses'!$J$7),1,IF(AND($D190='Auto Responses'!$J$27,$H190='Auto Responses'!$J$8),0,IF(OR($F190=$G190,$H190='Auto Responses'!$J$7),1,0)))))</f>
        <v>0</v>
      </c>
      <c r="M190" s="10" t="str">
        <f>VLOOKUP($A190,'Institution Evaluation'!$A$56:$K$346,10,0)&amp;""</f>
        <v/>
      </c>
      <c r="N190" s="10">
        <f t="shared" si="32"/>
        <v>1</v>
      </c>
      <c r="O190" s="114" t="str">
        <f t="shared" si="41"/>
        <v>N/A</v>
      </c>
      <c r="P190" s="114" t="str">
        <f t="shared" si="34"/>
        <v>N/A</v>
      </c>
      <c r="Q190" s="114">
        <f t="shared" ref="Q190:Q253" si="42">IF(M190="TRUE",1,0)</f>
        <v>0</v>
      </c>
      <c r="R190" s="114">
        <f t="shared" si="35"/>
        <v>0</v>
      </c>
      <c r="S190" s="114">
        <f t="shared" ref="S190:S253" si="43">IF(Q190=0,0,R190)</f>
        <v>0</v>
      </c>
      <c r="T190" s="114">
        <f t="shared" ref="T190:T253" si="44">IF(N190=1,1,0)</f>
        <v>1</v>
      </c>
      <c r="U190" s="114">
        <f t="shared" si="36"/>
        <v>61</v>
      </c>
      <c r="V190" s="114">
        <f t="shared" ref="V190:V253" si="45">IF(T190=0,0,U190)</f>
        <v>61</v>
      </c>
    </row>
    <row r="191" spans="1:22" ht="56" x14ac:dyDescent="0.3">
      <c r="A191" s="10" t="str">
        <f>Questions!$A191</f>
        <v>HIPA-05</v>
      </c>
      <c r="B191" s="10" t="str">
        <f t="shared" ref="B191:B254" si="46">LEFT(A191,4)</f>
        <v>HIPA</v>
      </c>
      <c r="C191" s="10" t="str">
        <f>VLOOKUP($A191,Questions!$A$3:$L$333,2,0)&amp;""</f>
        <v>Do you monitor or receive information regarding changes in HIPAA regulations?</v>
      </c>
      <c r="D191" s="10" t="str">
        <f>VLOOKUP($A191,Questions!$A$3:$L$333,11,0)&amp;""</f>
        <v/>
      </c>
      <c r="E191" s="10" t="str">
        <f>VLOOKUP($A191,Questions!$A$3:$L$333,12,0)&amp;""</f>
        <v>Case-specific</v>
      </c>
      <c r="F191" s="10" t="str">
        <f>VLOOKUP($A191,'Institution Evaluation'!$A$56:$K$346,3,0)&amp;""</f>
        <v/>
      </c>
      <c r="G191" s="10" t="str">
        <f>VLOOKUP($A191,'Institution Evaluation'!$A$56:$K$346,7,0)&amp;""</f>
        <v>Yes</v>
      </c>
      <c r="H191" s="10" t="str">
        <f>VLOOKUP($A191,'Institution Evaluation'!$A$56:$K$346,8,0)&amp;""</f>
        <v/>
      </c>
      <c r="I191" s="10" t="str">
        <f>VLOOKUP($A191,'Institution Evaluation'!$A$56:$K$346,9,0)&amp;""</f>
        <v>Standard Importance</v>
      </c>
      <c r="J191" s="10" t="str">
        <f>VLOOKUP($A191,'Institution Evaluation'!$A$56:$K$346,10,0)&amp;""</f>
        <v/>
      </c>
      <c r="K191" s="10">
        <f t="shared" ref="K191:K254" si="47">IF($I191="Critical Importance",20,IF($I191="Minor Importance",5,10))</f>
        <v>10</v>
      </c>
      <c r="L191" s="114">
        <f>IF($E191="Not Scored", "N/A",IF(AND($D191='Auto Responses'!$J$27,$H191=""),"N/A",IF(AND($D191='Auto Responses'!$J$27,$H191='Auto Responses'!$J$7),1,IF(AND($D191='Auto Responses'!$J$27,$H191='Auto Responses'!$J$8),0,IF(OR($F191=$G191,$H191='Auto Responses'!$J$7),1,0)))))</f>
        <v>0</v>
      </c>
      <c r="M191" s="10" t="str">
        <f>VLOOKUP($A191,'Institution Evaluation'!$A$56:$K$346,10,0)&amp;""</f>
        <v/>
      </c>
      <c r="N191" s="10">
        <f t="shared" ref="N191:N254" si="48">IF($J191="Critical Importance",1,IF(AND($J191="",$I191="Critical Importance"),1,0))</f>
        <v>0</v>
      </c>
      <c r="O191" s="114" t="str">
        <f t="shared" si="41"/>
        <v>N/A</v>
      </c>
      <c r="P191" s="114" t="str">
        <f t="shared" ref="P191:P254" si="49">IF(OR($O191="N/A",$L191="N/A"),"N/A",$O191*$L191)</f>
        <v>N/A</v>
      </c>
      <c r="Q191" s="114">
        <f t="shared" si="42"/>
        <v>0</v>
      </c>
      <c r="R191" s="114">
        <f t="shared" si="35"/>
        <v>0</v>
      </c>
      <c r="S191" s="114">
        <f t="shared" si="43"/>
        <v>0</v>
      </c>
      <c r="T191" s="114">
        <f t="shared" si="44"/>
        <v>0</v>
      </c>
      <c r="U191" s="114">
        <f t="shared" si="36"/>
        <v>61</v>
      </c>
      <c r="V191" s="114">
        <f t="shared" si="45"/>
        <v>0</v>
      </c>
    </row>
    <row r="192" spans="1:22" ht="56" x14ac:dyDescent="0.3">
      <c r="A192" s="10" t="str">
        <f>Questions!$A192</f>
        <v>HIPA-06</v>
      </c>
      <c r="B192" s="10" t="str">
        <f t="shared" si="46"/>
        <v>HIPA</v>
      </c>
      <c r="C192" s="10" t="str">
        <f>VLOOKUP($A192,Questions!$A$3:$L$333,2,0)&amp;""</f>
        <v>Has your organization designated HIPAA Privacy and Security officers as required by the rules?</v>
      </c>
      <c r="D192" s="10" t="str">
        <f>VLOOKUP($A192,Questions!$A$3:$L$333,11,0)&amp;""</f>
        <v/>
      </c>
      <c r="E192" s="10" t="str">
        <f>VLOOKUP($A192,Questions!$A$3:$L$333,12,0)&amp;""</f>
        <v>Case-specific</v>
      </c>
      <c r="F192" s="10" t="str">
        <f>VLOOKUP($A192,'Institution Evaluation'!$A$56:$K$346,3,0)&amp;""</f>
        <v/>
      </c>
      <c r="G192" s="10" t="str">
        <f>VLOOKUP($A192,'Institution Evaluation'!$A$56:$K$346,7,0)&amp;""</f>
        <v>Yes</v>
      </c>
      <c r="H192" s="10" t="str">
        <f>VLOOKUP($A192,'Institution Evaluation'!$A$56:$K$346,8,0)&amp;""</f>
        <v/>
      </c>
      <c r="I192" s="10" t="str">
        <f>VLOOKUP($A192,'Institution Evaluation'!$A$56:$K$346,9,0)&amp;""</f>
        <v>Standard Importance</v>
      </c>
      <c r="J192" s="10" t="str">
        <f>VLOOKUP($A192,'Institution Evaluation'!$A$56:$K$346,10,0)&amp;""</f>
        <v/>
      </c>
      <c r="K192" s="10">
        <f t="shared" si="47"/>
        <v>10</v>
      </c>
      <c r="L192" s="114">
        <f>IF($E192="Not Scored", "N/A",IF(AND($D192='Auto Responses'!$J$27,$H192=""),"N/A",IF(AND($D192='Auto Responses'!$J$27,$H192='Auto Responses'!$J$7),1,IF(AND($D192='Auto Responses'!$J$27,$H192='Auto Responses'!$J$8),0,IF(OR($F192=$G192,$H192='Auto Responses'!$J$7),1,0)))))</f>
        <v>0</v>
      </c>
      <c r="M192" s="10" t="str">
        <f>VLOOKUP($A192,'Institution Evaluation'!$A$56:$K$346,10,0)&amp;""</f>
        <v/>
      </c>
      <c r="N192" s="10">
        <f t="shared" si="48"/>
        <v>0</v>
      </c>
      <c r="O192" s="114" t="str">
        <f t="shared" si="41"/>
        <v>N/A</v>
      </c>
      <c r="P192" s="114" t="str">
        <f t="shared" si="49"/>
        <v>N/A</v>
      </c>
      <c r="Q192" s="114">
        <f t="shared" si="42"/>
        <v>0</v>
      </c>
      <c r="R192" s="114">
        <f t="shared" si="35"/>
        <v>0</v>
      </c>
      <c r="S192" s="114">
        <f t="shared" si="43"/>
        <v>0</v>
      </c>
      <c r="T192" s="114">
        <f t="shared" si="44"/>
        <v>0</v>
      </c>
      <c r="U192" s="114">
        <f t="shared" si="36"/>
        <v>61</v>
      </c>
      <c r="V192" s="114">
        <f t="shared" si="45"/>
        <v>0</v>
      </c>
    </row>
    <row r="193" spans="1:22" ht="56" x14ac:dyDescent="0.3">
      <c r="A193" s="10" t="str">
        <f>Questions!$A193</f>
        <v>HIPA-07</v>
      </c>
      <c r="B193" s="10" t="str">
        <f t="shared" si="46"/>
        <v>HIPA</v>
      </c>
      <c r="C193" s="10" t="str">
        <f>VLOOKUP($A193,Questions!$A$3:$L$333,2,0)&amp;""</f>
        <v>Do you comply with the requirements of the Health Information Technology for Economic and Clinical Health Act (HITECH)?</v>
      </c>
      <c r="D193" s="10" t="str">
        <f>VLOOKUP($A193,Questions!$A$3:$L$333,11,0)&amp;""</f>
        <v/>
      </c>
      <c r="E193" s="10" t="str">
        <f>VLOOKUP($A193,Questions!$A$3:$L$333,12,0)&amp;""</f>
        <v>Case-specific</v>
      </c>
      <c r="F193" s="10" t="str">
        <f>VLOOKUP($A193,'Institution Evaluation'!$A$56:$K$346,3,0)&amp;""</f>
        <v/>
      </c>
      <c r="G193" s="10" t="str">
        <f>VLOOKUP($A193,'Institution Evaluation'!$A$56:$K$346,7,0)&amp;""</f>
        <v>Yes</v>
      </c>
      <c r="H193" s="10" t="str">
        <f>VLOOKUP($A193,'Institution Evaluation'!$A$56:$K$346,8,0)&amp;""</f>
        <v/>
      </c>
      <c r="I193" s="10" t="str">
        <f>VLOOKUP($A193,'Institution Evaluation'!$A$56:$K$346,9,0)&amp;""</f>
        <v>Standard Importance</v>
      </c>
      <c r="J193" s="10" t="str">
        <f>VLOOKUP($A193,'Institution Evaluation'!$A$56:$K$346,10,0)&amp;""</f>
        <v/>
      </c>
      <c r="K193" s="10">
        <f t="shared" si="47"/>
        <v>10</v>
      </c>
      <c r="L193" s="114">
        <f>IF($E193="Not Scored", "N/A",IF(AND($D193='Auto Responses'!$J$27,$H193=""),"N/A",IF(AND($D193='Auto Responses'!$J$27,$H193='Auto Responses'!$J$7),1,IF(AND($D193='Auto Responses'!$J$27,$H193='Auto Responses'!$J$8),0,IF(OR($F193=$G193,$H193='Auto Responses'!$J$7),1,0)))))</f>
        <v>0</v>
      </c>
      <c r="M193" s="10" t="str">
        <f>VLOOKUP($A193,'Institution Evaluation'!$A$56:$K$346,10,0)&amp;""</f>
        <v/>
      </c>
      <c r="N193" s="10">
        <f t="shared" si="48"/>
        <v>0</v>
      </c>
      <c r="O193" s="114" t="str">
        <f t="shared" si="41"/>
        <v>N/A</v>
      </c>
      <c r="P193" s="114" t="str">
        <f t="shared" si="49"/>
        <v>N/A</v>
      </c>
      <c r="Q193" s="114">
        <f t="shared" si="42"/>
        <v>0</v>
      </c>
      <c r="R193" s="114">
        <f t="shared" si="35"/>
        <v>0</v>
      </c>
      <c r="S193" s="114">
        <f t="shared" si="43"/>
        <v>0</v>
      </c>
      <c r="T193" s="114">
        <f t="shared" si="44"/>
        <v>0</v>
      </c>
      <c r="U193" s="114">
        <f t="shared" si="36"/>
        <v>61</v>
      </c>
      <c r="V193" s="114">
        <f t="shared" si="45"/>
        <v>0</v>
      </c>
    </row>
    <row r="194" spans="1:22" ht="56" x14ac:dyDescent="0.3">
      <c r="A194" s="10" t="str">
        <f>Questions!$A194</f>
        <v>HIPA-08</v>
      </c>
      <c r="B194" s="10" t="str">
        <f t="shared" si="46"/>
        <v>HIPA</v>
      </c>
      <c r="C194" s="10" t="str">
        <f>VLOOKUP($A194,Questions!$A$3:$L$333,2,0)&amp;""</f>
        <v>Have you conducted a risk analysis as required under the HIPAA Security Rule?</v>
      </c>
      <c r="D194" s="10" t="str">
        <f>VLOOKUP($A194,Questions!$A$3:$L$333,11,0)&amp;""</f>
        <v/>
      </c>
      <c r="E194" s="10" t="str">
        <f>VLOOKUP($A194,Questions!$A$3:$L$333,12,0)&amp;""</f>
        <v>Case-specific</v>
      </c>
      <c r="F194" s="10" t="str">
        <f>VLOOKUP($A194,'Institution Evaluation'!$A$56:$K$346,3,0)&amp;""</f>
        <v/>
      </c>
      <c r="G194" s="10" t="str">
        <f>VLOOKUP($A194,'Institution Evaluation'!$A$56:$K$346,7,0)&amp;""</f>
        <v>Yes</v>
      </c>
      <c r="H194" s="10" t="str">
        <f>VLOOKUP($A194,'Institution Evaluation'!$A$56:$K$346,8,0)&amp;""</f>
        <v/>
      </c>
      <c r="I194" s="10" t="str">
        <f>VLOOKUP($A194,'Institution Evaluation'!$A$56:$K$346,9,0)&amp;""</f>
        <v>Standard Importance</v>
      </c>
      <c r="J194" s="10" t="str">
        <f>VLOOKUP($A194,'Institution Evaluation'!$A$56:$K$346,10,0)&amp;""</f>
        <v/>
      </c>
      <c r="K194" s="10">
        <f t="shared" si="47"/>
        <v>10</v>
      </c>
      <c r="L194" s="114">
        <f>IF($E194="Not Scored", "N/A",IF(AND($D194='Auto Responses'!$J$27,$H194=""),"N/A",IF(AND($D194='Auto Responses'!$J$27,$H194='Auto Responses'!$J$7),1,IF(AND($D194='Auto Responses'!$J$27,$H194='Auto Responses'!$J$8),0,IF(OR($F194=$G194,$H194='Auto Responses'!$J$7),1,0)))))</f>
        <v>0</v>
      </c>
      <c r="M194" s="10" t="str">
        <f>VLOOKUP($A194,'Institution Evaluation'!$A$56:$K$346,10,0)&amp;""</f>
        <v/>
      </c>
      <c r="N194" s="10">
        <f t="shared" si="48"/>
        <v>0</v>
      </c>
      <c r="O194" s="114" t="str">
        <f t="shared" si="41"/>
        <v>N/A</v>
      </c>
      <c r="P194" s="114" t="str">
        <f t="shared" si="49"/>
        <v>N/A</v>
      </c>
      <c r="Q194" s="114">
        <f t="shared" si="42"/>
        <v>0</v>
      </c>
      <c r="R194" s="114">
        <f t="shared" si="35"/>
        <v>0</v>
      </c>
      <c r="S194" s="114">
        <f t="shared" si="43"/>
        <v>0</v>
      </c>
      <c r="T194" s="114">
        <f t="shared" si="44"/>
        <v>0</v>
      </c>
      <c r="U194" s="114">
        <f t="shared" si="36"/>
        <v>61</v>
      </c>
      <c r="V194" s="114">
        <f t="shared" si="45"/>
        <v>0</v>
      </c>
    </row>
    <row r="195" spans="1:22" ht="56" x14ac:dyDescent="0.3">
      <c r="A195" s="10" t="str">
        <f>Questions!$A195</f>
        <v>HIPA-09</v>
      </c>
      <c r="B195" s="10" t="str">
        <f t="shared" si="46"/>
        <v>HIPA</v>
      </c>
      <c r="C195" s="10" t="str">
        <f>VLOOKUP($A195,Questions!$A$3:$L$333,2,0)&amp;""</f>
        <v>Have you taken actions to mitigate the identified risks?</v>
      </c>
      <c r="D195" s="10" t="str">
        <f>VLOOKUP($A195,Questions!$A$3:$L$333,11,0)&amp;""</f>
        <v/>
      </c>
      <c r="E195" s="10" t="str">
        <f>VLOOKUP($A195,Questions!$A$3:$L$333,12,0)&amp;""</f>
        <v>Case-specific</v>
      </c>
      <c r="F195" s="10" t="str">
        <f>VLOOKUP($A195,'Institution Evaluation'!$A$56:$K$346,3,0)&amp;""</f>
        <v/>
      </c>
      <c r="G195" s="10" t="str">
        <f>VLOOKUP($A195,'Institution Evaluation'!$A$56:$K$346,7,0)&amp;""</f>
        <v>Yes</v>
      </c>
      <c r="H195" s="10" t="str">
        <f>VLOOKUP($A195,'Institution Evaluation'!$A$56:$K$346,8,0)&amp;""</f>
        <v/>
      </c>
      <c r="I195" s="10" t="str">
        <f>VLOOKUP($A195,'Institution Evaluation'!$A$56:$K$346,9,0)&amp;""</f>
        <v>Standard Importance</v>
      </c>
      <c r="J195" s="10" t="str">
        <f>VLOOKUP($A195,'Institution Evaluation'!$A$56:$K$346,10,0)&amp;""</f>
        <v/>
      </c>
      <c r="K195" s="10">
        <f t="shared" si="47"/>
        <v>10</v>
      </c>
      <c r="L195" s="114">
        <f>IF($E195="Not Scored", "N/A",IF(AND($D195='Auto Responses'!$J$27,$H195=""),"N/A",IF(AND($D195='Auto Responses'!$J$27,$H195='Auto Responses'!$J$7),1,IF(AND($D195='Auto Responses'!$J$27,$H195='Auto Responses'!$J$8),0,IF(OR($F195=$G195,$H195='Auto Responses'!$J$7),1,0)))))</f>
        <v>0</v>
      </c>
      <c r="M195" s="10" t="str">
        <f>VLOOKUP($A195,'Institution Evaluation'!$A$56:$K$346,10,0)&amp;""</f>
        <v/>
      </c>
      <c r="N195" s="10">
        <f t="shared" si="48"/>
        <v>0</v>
      </c>
      <c r="O195" s="114" t="str">
        <f t="shared" si="41"/>
        <v>N/A</v>
      </c>
      <c r="P195" s="114" t="str">
        <f t="shared" si="49"/>
        <v>N/A</v>
      </c>
      <c r="Q195" s="114">
        <f t="shared" si="42"/>
        <v>0</v>
      </c>
      <c r="R195" s="114">
        <f t="shared" si="35"/>
        <v>0</v>
      </c>
      <c r="S195" s="114">
        <f t="shared" si="43"/>
        <v>0</v>
      </c>
      <c r="T195" s="114">
        <f t="shared" si="44"/>
        <v>0</v>
      </c>
      <c r="U195" s="114">
        <f t="shared" si="36"/>
        <v>61</v>
      </c>
      <c r="V195" s="114">
        <f t="shared" si="45"/>
        <v>0</v>
      </c>
    </row>
    <row r="196" spans="1:22" ht="56" x14ac:dyDescent="0.3">
      <c r="A196" s="10" t="str">
        <f>Questions!$A196</f>
        <v>HIPA-10</v>
      </c>
      <c r="B196" s="10" t="str">
        <f t="shared" si="46"/>
        <v>HIPA</v>
      </c>
      <c r="C196" s="10" t="str">
        <f>VLOOKUP($A196,Questions!$A$3:$L$333,2,0)&amp;""</f>
        <v>Does your application require user and system administrator password changes at a frequency no greater than 90 days?</v>
      </c>
      <c r="D196" s="10" t="str">
        <f>VLOOKUP($A196,Questions!$A$3:$L$333,11,0)&amp;""</f>
        <v/>
      </c>
      <c r="E196" s="10" t="str">
        <f>VLOOKUP($A196,Questions!$A$3:$L$333,12,0)&amp;""</f>
        <v>Case-specific</v>
      </c>
      <c r="F196" s="10" t="str">
        <f>VLOOKUP($A196,'Institution Evaluation'!$A$56:$K$346,3,0)&amp;""</f>
        <v/>
      </c>
      <c r="G196" s="10" t="str">
        <f>VLOOKUP($A196,'Institution Evaluation'!$A$56:$K$346,7,0)&amp;""</f>
        <v>Yes</v>
      </c>
      <c r="H196" s="10" t="str">
        <f>VLOOKUP($A196,'Institution Evaluation'!$A$56:$K$346,8,0)&amp;""</f>
        <v/>
      </c>
      <c r="I196" s="10" t="str">
        <f>VLOOKUP($A196,'Institution Evaluation'!$A$56:$K$346,9,0)&amp;""</f>
        <v>Standard Importance</v>
      </c>
      <c r="J196" s="10" t="str">
        <f>VLOOKUP($A196,'Institution Evaluation'!$A$56:$K$346,10,0)&amp;""</f>
        <v/>
      </c>
      <c r="K196" s="10">
        <f t="shared" si="47"/>
        <v>10</v>
      </c>
      <c r="L196" s="114">
        <f>IF($E196="Not Scored", "N/A",IF(AND($D196='Auto Responses'!$J$27,$H196=""),"N/A",IF(AND($D196='Auto Responses'!$J$27,$H196='Auto Responses'!$J$7),1,IF(AND($D196='Auto Responses'!$J$27,$H196='Auto Responses'!$J$8),0,IF(OR($F196=$G196,$H196='Auto Responses'!$J$7),1,0)))))</f>
        <v>0</v>
      </c>
      <c r="M196" s="10" t="str">
        <f>VLOOKUP($A196,'Institution Evaluation'!$A$56:$K$346,10,0)&amp;""</f>
        <v/>
      </c>
      <c r="N196" s="10">
        <f t="shared" si="48"/>
        <v>0</v>
      </c>
      <c r="O196" s="114" t="str">
        <f t="shared" si="41"/>
        <v>N/A</v>
      </c>
      <c r="P196" s="114" t="str">
        <f t="shared" si="49"/>
        <v>N/A</v>
      </c>
      <c r="Q196" s="114">
        <f t="shared" si="42"/>
        <v>0</v>
      </c>
      <c r="R196" s="114">
        <f t="shared" si="35"/>
        <v>0</v>
      </c>
      <c r="S196" s="114">
        <f t="shared" si="43"/>
        <v>0</v>
      </c>
      <c r="T196" s="114">
        <f t="shared" si="44"/>
        <v>0</v>
      </c>
      <c r="U196" s="114">
        <f t="shared" si="36"/>
        <v>61</v>
      </c>
      <c r="V196" s="114">
        <f t="shared" si="45"/>
        <v>0</v>
      </c>
    </row>
    <row r="197" spans="1:22" ht="56" x14ac:dyDescent="0.3">
      <c r="A197" s="10" t="str">
        <f>Questions!$A197</f>
        <v>HIPA-11</v>
      </c>
      <c r="B197" s="10" t="str">
        <f t="shared" si="46"/>
        <v>HIPA</v>
      </c>
      <c r="C197" s="10" t="str">
        <f>VLOOKUP($A197,Questions!$A$3:$L$333,2,0)&amp;""</f>
        <v>Does your application require users to set their own password after an administrator reset or on first use of the account?</v>
      </c>
      <c r="D197" s="10" t="str">
        <f>VLOOKUP($A197,Questions!$A$3:$L$333,11,0)&amp;""</f>
        <v/>
      </c>
      <c r="E197" s="10" t="str">
        <f>VLOOKUP($A197,Questions!$A$3:$L$333,12,0)&amp;""</f>
        <v>Case-specific</v>
      </c>
      <c r="F197" s="10" t="str">
        <f>VLOOKUP($A197,'Institution Evaluation'!$A$56:$K$346,3,0)&amp;""</f>
        <v/>
      </c>
      <c r="G197" s="10" t="str">
        <f>VLOOKUP($A197,'Institution Evaluation'!$A$56:$K$346,7,0)&amp;""</f>
        <v>Yes</v>
      </c>
      <c r="H197" s="10" t="str">
        <f>VLOOKUP($A197,'Institution Evaluation'!$A$56:$K$346,8,0)&amp;""</f>
        <v/>
      </c>
      <c r="I197" s="10" t="str">
        <f>VLOOKUP($A197,'Institution Evaluation'!$A$56:$K$346,9,0)&amp;""</f>
        <v>Standard Importance</v>
      </c>
      <c r="J197" s="10" t="str">
        <f>VLOOKUP($A197,'Institution Evaluation'!$A$56:$K$346,10,0)&amp;""</f>
        <v/>
      </c>
      <c r="K197" s="10">
        <f t="shared" si="47"/>
        <v>10</v>
      </c>
      <c r="L197" s="114">
        <f>IF($E197="Not Scored", "N/A",IF(AND($D197='Auto Responses'!$J$27,$H197=""),"N/A",IF(AND($D197='Auto Responses'!$J$27,$H197='Auto Responses'!$J$7),1,IF(AND($D197='Auto Responses'!$J$27,$H197='Auto Responses'!$J$8),0,IF(OR($F197=$G197,$H197='Auto Responses'!$J$7),1,0)))))</f>
        <v>0</v>
      </c>
      <c r="M197" s="10" t="str">
        <f>VLOOKUP($A197,'Institution Evaluation'!$A$56:$K$346,10,0)&amp;""</f>
        <v/>
      </c>
      <c r="N197" s="10">
        <f t="shared" si="48"/>
        <v>0</v>
      </c>
      <c r="O197" s="114" t="str">
        <f t="shared" si="41"/>
        <v>N/A</v>
      </c>
      <c r="P197" s="114" t="str">
        <f t="shared" si="49"/>
        <v>N/A</v>
      </c>
      <c r="Q197" s="114">
        <f t="shared" si="42"/>
        <v>0</v>
      </c>
      <c r="R197" s="114">
        <f t="shared" ref="R197:R260" si="50">R196+Q197</f>
        <v>0</v>
      </c>
      <c r="S197" s="114">
        <f t="shared" si="43"/>
        <v>0</v>
      </c>
      <c r="T197" s="114">
        <f t="shared" si="44"/>
        <v>0</v>
      </c>
      <c r="U197" s="114">
        <f t="shared" ref="U197:U260" si="51">U196+T197</f>
        <v>61</v>
      </c>
      <c r="V197" s="114">
        <f t="shared" si="45"/>
        <v>0</v>
      </c>
    </row>
    <row r="198" spans="1:22" ht="56" x14ac:dyDescent="0.3">
      <c r="A198" s="10" t="str">
        <f>Questions!$A198</f>
        <v>HIPA-12</v>
      </c>
      <c r="B198" s="10" t="str">
        <f t="shared" si="46"/>
        <v>HIPA</v>
      </c>
      <c r="C198" s="10" t="str">
        <f>VLOOKUP($A198,Questions!$A$3:$L$333,2,0)&amp;""</f>
        <v>Does your application lock out an account after a number of failed login attempts?</v>
      </c>
      <c r="D198" s="10" t="str">
        <f>VLOOKUP($A198,Questions!$A$3:$L$333,11,0)&amp;""</f>
        <v/>
      </c>
      <c r="E198" s="10" t="str">
        <f>VLOOKUP($A198,Questions!$A$3:$L$333,12,0)&amp;""</f>
        <v>Case-specific</v>
      </c>
      <c r="F198" s="10" t="str">
        <f>VLOOKUP($A198,'Institution Evaluation'!$A$56:$K$346,3,0)&amp;""</f>
        <v/>
      </c>
      <c r="G198" s="10" t="str">
        <f>VLOOKUP($A198,'Institution Evaluation'!$A$56:$K$346,7,0)&amp;""</f>
        <v>Yes</v>
      </c>
      <c r="H198" s="10" t="str">
        <f>VLOOKUP($A198,'Institution Evaluation'!$A$56:$K$346,8,0)&amp;""</f>
        <v/>
      </c>
      <c r="I198" s="10" t="str">
        <f>VLOOKUP($A198,'Institution Evaluation'!$A$56:$K$346,9,0)&amp;""</f>
        <v>Standard Importance</v>
      </c>
      <c r="J198" s="10" t="str">
        <f>VLOOKUP($A198,'Institution Evaluation'!$A$56:$K$346,10,0)&amp;""</f>
        <v/>
      </c>
      <c r="K198" s="10">
        <f t="shared" si="47"/>
        <v>10</v>
      </c>
      <c r="L198" s="114">
        <f>IF($E198="Not Scored", "N/A",IF(AND($D198='Auto Responses'!$J$27,$H198=""),"N/A",IF(AND($D198='Auto Responses'!$J$27,$H198='Auto Responses'!$J$7),1,IF(AND($D198='Auto Responses'!$J$27,$H198='Auto Responses'!$J$8),0,IF(OR($F198=$G198,$H198='Auto Responses'!$J$7),1,0)))))</f>
        <v>0</v>
      </c>
      <c r="M198" s="10" t="str">
        <f>VLOOKUP($A198,'Institution Evaluation'!$A$56:$K$346,10,0)&amp;""</f>
        <v/>
      </c>
      <c r="N198" s="10">
        <f t="shared" si="48"/>
        <v>0</v>
      </c>
      <c r="O198" s="114" t="str">
        <f t="shared" si="41"/>
        <v>N/A</v>
      </c>
      <c r="P198" s="114" t="str">
        <f t="shared" si="49"/>
        <v>N/A</v>
      </c>
      <c r="Q198" s="114">
        <f t="shared" si="42"/>
        <v>0</v>
      </c>
      <c r="R198" s="114">
        <f t="shared" si="50"/>
        <v>0</v>
      </c>
      <c r="S198" s="114">
        <f t="shared" si="43"/>
        <v>0</v>
      </c>
      <c r="T198" s="114">
        <f t="shared" si="44"/>
        <v>0</v>
      </c>
      <c r="U198" s="114">
        <f t="shared" si="51"/>
        <v>61</v>
      </c>
      <c r="V198" s="114">
        <f t="shared" si="45"/>
        <v>0</v>
      </c>
    </row>
    <row r="199" spans="1:22" ht="56" x14ac:dyDescent="0.3">
      <c r="A199" s="10" t="str">
        <f>Questions!$A199</f>
        <v>HIPA-13</v>
      </c>
      <c r="B199" s="10" t="str">
        <f t="shared" si="46"/>
        <v>HIPA</v>
      </c>
      <c r="C199" s="10" t="str">
        <f>VLOOKUP($A199,Questions!$A$3:$L$333,2,0)&amp;""</f>
        <v>Does your application automatically lock or log-out an account after a period of inactivity?</v>
      </c>
      <c r="D199" s="10" t="str">
        <f>VLOOKUP($A199,Questions!$A$3:$L$333,11,0)&amp;""</f>
        <v/>
      </c>
      <c r="E199" s="10" t="str">
        <f>VLOOKUP($A199,Questions!$A$3:$L$333,12,0)&amp;""</f>
        <v>Case-specific</v>
      </c>
      <c r="F199" s="10" t="str">
        <f>VLOOKUP($A199,'Institution Evaluation'!$A$56:$K$346,3,0)&amp;""</f>
        <v/>
      </c>
      <c r="G199" s="10" t="str">
        <f>VLOOKUP($A199,'Institution Evaluation'!$A$56:$K$346,7,0)&amp;""</f>
        <v>Yes</v>
      </c>
      <c r="H199" s="10" t="str">
        <f>VLOOKUP($A199,'Institution Evaluation'!$A$56:$K$346,8,0)&amp;""</f>
        <v/>
      </c>
      <c r="I199" s="10" t="str">
        <f>VLOOKUP($A199,'Institution Evaluation'!$A$56:$K$346,9,0)&amp;""</f>
        <v>Standard Importance</v>
      </c>
      <c r="J199" s="10" t="str">
        <f>VLOOKUP($A199,'Institution Evaluation'!$A$56:$K$346,10,0)&amp;""</f>
        <v/>
      </c>
      <c r="K199" s="10">
        <f t="shared" si="47"/>
        <v>10</v>
      </c>
      <c r="L199" s="114">
        <f>IF($E199="Not Scored", "N/A",IF(AND($D199='Auto Responses'!$J$27,$H199=""),"N/A",IF(AND($D199='Auto Responses'!$J$27,$H199='Auto Responses'!$J$7),1,IF(AND($D199='Auto Responses'!$J$27,$H199='Auto Responses'!$J$8),0,IF(OR($F199=$G199,$H199='Auto Responses'!$J$7),1,0)))))</f>
        <v>0</v>
      </c>
      <c r="M199" s="10" t="str">
        <f>VLOOKUP($A199,'Institution Evaluation'!$A$56:$K$346,10,0)&amp;""</f>
        <v/>
      </c>
      <c r="N199" s="10">
        <f t="shared" si="48"/>
        <v>0</v>
      </c>
      <c r="O199" s="114" t="str">
        <f t="shared" si="41"/>
        <v>N/A</v>
      </c>
      <c r="P199" s="114" t="str">
        <f t="shared" si="49"/>
        <v>N/A</v>
      </c>
      <c r="Q199" s="114">
        <f t="shared" si="42"/>
        <v>0</v>
      </c>
      <c r="R199" s="114">
        <f t="shared" si="50"/>
        <v>0</v>
      </c>
      <c r="S199" s="114">
        <f t="shared" si="43"/>
        <v>0</v>
      </c>
      <c r="T199" s="114">
        <f t="shared" si="44"/>
        <v>0</v>
      </c>
      <c r="U199" s="114">
        <f t="shared" si="51"/>
        <v>61</v>
      </c>
      <c r="V199" s="114">
        <f t="shared" si="45"/>
        <v>0</v>
      </c>
    </row>
    <row r="200" spans="1:22" ht="56" x14ac:dyDescent="0.3">
      <c r="A200" s="10" t="str">
        <f>Questions!$A200</f>
        <v>HIPA-14</v>
      </c>
      <c r="B200" s="10" t="str">
        <f t="shared" si="46"/>
        <v>HIPA</v>
      </c>
      <c r="C200" s="10" t="str">
        <f>VLOOKUP($A200,Questions!$A$3:$L$333,2,0)&amp;""</f>
        <v>Are passwords visible in plain text, whether when stored or entered, including service level accounts (i.e., database accounts, etc.)?</v>
      </c>
      <c r="D200" s="10" t="str">
        <f>VLOOKUP($A200,Questions!$A$3:$L$333,11,0)&amp;""</f>
        <v/>
      </c>
      <c r="E200" s="10" t="str">
        <f>VLOOKUP($A200,Questions!$A$3:$L$333,12,0)&amp;""</f>
        <v>Case-specific</v>
      </c>
      <c r="F200" s="10" t="str">
        <f>VLOOKUP($A200,'Institution Evaluation'!$A$56:$K$346,3,0)&amp;""</f>
        <v/>
      </c>
      <c r="G200" s="10" t="str">
        <f>VLOOKUP($A200,'Institution Evaluation'!$A$56:$K$346,7,0)&amp;""</f>
        <v>No</v>
      </c>
      <c r="H200" s="10" t="str">
        <f>VLOOKUP($A200,'Institution Evaluation'!$A$56:$K$346,8,0)&amp;""</f>
        <v/>
      </c>
      <c r="I200" s="10" t="str">
        <f>VLOOKUP($A200,'Institution Evaluation'!$A$56:$K$346,9,0)&amp;""</f>
        <v>Standard Importance</v>
      </c>
      <c r="J200" s="10" t="str">
        <f>VLOOKUP($A200,'Institution Evaluation'!$A$56:$K$346,10,0)&amp;""</f>
        <v/>
      </c>
      <c r="K200" s="10">
        <f t="shared" si="47"/>
        <v>10</v>
      </c>
      <c r="L200" s="114">
        <f>IF($E200="Not Scored", "N/A",IF(AND($D200='Auto Responses'!$J$27,$H200=""),"N/A",IF(AND($D200='Auto Responses'!$J$27,$H200='Auto Responses'!$J$7),1,IF(AND($D200='Auto Responses'!$J$27,$H200='Auto Responses'!$J$8),0,IF(OR($F200=$G200,$H200='Auto Responses'!$J$7),1,0)))))</f>
        <v>0</v>
      </c>
      <c r="M200" s="10" t="str">
        <f>VLOOKUP($A200,'Institution Evaluation'!$A$56:$K$346,10,0)&amp;""</f>
        <v/>
      </c>
      <c r="N200" s="10">
        <f t="shared" si="48"/>
        <v>0</v>
      </c>
      <c r="O200" s="114" t="str">
        <f t="shared" si="41"/>
        <v>N/A</v>
      </c>
      <c r="P200" s="114" t="str">
        <f t="shared" si="49"/>
        <v>N/A</v>
      </c>
      <c r="Q200" s="114">
        <f t="shared" si="42"/>
        <v>0</v>
      </c>
      <c r="R200" s="114">
        <f t="shared" si="50"/>
        <v>0</v>
      </c>
      <c r="S200" s="114">
        <f t="shared" si="43"/>
        <v>0</v>
      </c>
      <c r="T200" s="114">
        <f t="shared" si="44"/>
        <v>0</v>
      </c>
      <c r="U200" s="114">
        <f t="shared" si="51"/>
        <v>61</v>
      </c>
      <c r="V200" s="114">
        <f t="shared" si="45"/>
        <v>0</v>
      </c>
    </row>
    <row r="201" spans="1:22" ht="56" x14ac:dyDescent="0.3">
      <c r="A201" s="10" t="str">
        <f>Questions!$A201</f>
        <v>HIPA-15</v>
      </c>
      <c r="B201" s="10" t="str">
        <f t="shared" si="46"/>
        <v>HIPA</v>
      </c>
      <c r="C201" s="10" t="str">
        <f>VLOOKUP($A201,Questions!$A$3:$L$333,2,0)&amp;""</f>
        <v>If the application is institution-hosted, can all service level and administrative account passwords be changed by the institution?</v>
      </c>
      <c r="D201" s="10" t="str">
        <f>VLOOKUP($A201,Questions!$A$3:$L$333,11,0)&amp;""</f>
        <v/>
      </c>
      <c r="E201" s="10" t="str">
        <f>VLOOKUP($A201,Questions!$A$3:$L$333,12,0)&amp;""</f>
        <v>Case-specific</v>
      </c>
      <c r="F201" s="10" t="str">
        <f>VLOOKUP($A201,'Institution Evaluation'!$A$56:$K$346,3,0)&amp;""</f>
        <v/>
      </c>
      <c r="G201" s="10" t="str">
        <f>VLOOKUP($A201,'Institution Evaluation'!$A$56:$K$346,7,0)&amp;""</f>
        <v>Yes</v>
      </c>
      <c r="H201" s="10" t="str">
        <f>VLOOKUP($A201,'Institution Evaluation'!$A$56:$K$346,8,0)&amp;""</f>
        <v/>
      </c>
      <c r="I201" s="10" t="str">
        <f>VLOOKUP($A201,'Institution Evaluation'!$A$56:$K$346,9,0)&amp;""</f>
        <v>Standard Importance</v>
      </c>
      <c r="J201" s="10" t="str">
        <f>VLOOKUP($A201,'Institution Evaluation'!$A$56:$K$346,10,0)&amp;""</f>
        <v/>
      </c>
      <c r="K201" s="10">
        <f t="shared" si="47"/>
        <v>10</v>
      </c>
      <c r="L201" s="114">
        <f>IF($E201="Not Scored", "N/A",IF(AND($D201='Auto Responses'!$J$27,$H201=""),"N/A",IF(AND($D201='Auto Responses'!$J$27,$H201='Auto Responses'!$J$7),1,IF(AND($D201='Auto Responses'!$J$27,$H201='Auto Responses'!$J$8),0,IF(OR($F201=$G201,$H201='Auto Responses'!$J$7),1,0)))))</f>
        <v>0</v>
      </c>
      <c r="M201" s="10" t="str">
        <f>VLOOKUP($A201,'Institution Evaluation'!$A$56:$K$346,10,0)&amp;""</f>
        <v/>
      </c>
      <c r="N201" s="10">
        <f t="shared" si="48"/>
        <v>0</v>
      </c>
      <c r="O201" s="114" t="str">
        <f t="shared" si="41"/>
        <v>N/A</v>
      </c>
      <c r="P201" s="114" t="str">
        <f t="shared" si="49"/>
        <v>N/A</v>
      </c>
      <c r="Q201" s="114">
        <f t="shared" si="42"/>
        <v>0</v>
      </c>
      <c r="R201" s="114">
        <f t="shared" si="50"/>
        <v>0</v>
      </c>
      <c r="S201" s="114">
        <f t="shared" si="43"/>
        <v>0</v>
      </c>
      <c r="T201" s="114">
        <f t="shared" si="44"/>
        <v>0</v>
      </c>
      <c r="U201" s="114">
        <f t="shared" si="51"/>
        <v>61</v>
      </c>
      <c r="V201" s="114">
        <f t="shared" si="45"/>
        <v>0</v>
      </c>
    </row>
    <row r="202" spans="1:22" ht="56" x14ac:dyDescent="0.3">
      <c r="A202" s="10" t="str">
        <f>Questions!$A202</f>
        <v>HIPA-16</v>
      </c>
      <c r="B202" s="10" t="str">
        <f t="shared" si="46"/>
        <v>HIPA</v>
      </c>
      <c r="C202" s="10" t="str">
        <f>VLOOKUP($A202,Questions!$A$3:$L$333,2,0)&amp;""</f>
        <v>Does your application provide the ability to define user access levels?</v>
      </c>
      <c r="D202" s="10" t="str">
        <f>VLOOKUP($A202,Questions!$A$3:$L$333,11,0)&amp;""</f>
        <v/>
      </c>
      <c r="E202" s="10" t="str">
        <f>VLOOKUP($A202,Questions!$A$3:$L$333,12,0)&amp;""</f>
        <v>Case-specific</v>
      </c>
      <c r="F202" s="10" t="str">
        <f>VLOOKUP($A202,'Institution Evaluation'!$A$56:$K$346,3,0)&amp;""</f>
        <v/>
      </c>
      <c r="G202" s="10" t="str">
        <f>VLOOKUP($A202,'Institution Evaluation'!$A$56:$K$346,7,0)&amp;""</f>
        <v>Yes</v>
      </c>
      <c r="H202" s="10" t="str">
        <f>VLOOKUP($A202,'Institution Evaluation'!$A$56:$K$346,8,0)&amp;""</f>
        <v/>
      </c>
      <c r="I202" s="10" t="str">
        <f>VLOOKUP($A202,'Institution Evaluation'!$A$56:$K$346,9,0)&amp;""</f>
        <v>Standard Importance</v>
      </c>
      <c r="J202" s="10" t="str">
        <f>VLOOKUP($A202,'Institution Evaluation'!$A$56:$K$346,10,0)&amp;""</f>
        <v/>
      </c>
      <c r="K202" s="10">
        <f t="shared" si="47"/>
        <v>10</v>
      </c>
      <c r="L202" s="114">
        <f>IF($E202="Not Scored", "N/A",IF(AND($D202='Auto Responses'!$J$27,$H202=""),"N/A",IF(AND($D202='Auto Responses'!$J$27,$H202='Auto Responses'!$J$7),1,IF(AND($D202='Auto Responses'!$J$27,$H202='Auto Responses'!$J$8),0,IF(OR($F202=$G202,$H202='Auto Responses'!$J$7),1,0)))))</f>
        <v>0</v>
      </c>
      <c r="M202" s="10" t="str">
        <f>VLOOKUP($A202,'Institution Evaluation'!$A$56:$K$346,10,0)&amp;""</f>
        <v/>
      </c>
      <c r="N202" s="10">
        <f t="shared" si="48"/>
        <v>0</v>
      </c>
      <c r="O202" s="114" t="str">
        <f t="shared" si="41"/>
        <v>N/A</v>
      </c>
      <c r="P202" s="114" t="str">
        <f t="shared" si="49"/>
        <v>N/A</v>
      </c>
      <c r="Q202" s="114">
        <f t="shared" si="42"/>
        <v>0</v>
      </c>
      <c r="R202" s="114">
        <f t="shared" si="50"/>
        <v>0</v>
      </c>
      <c r="S202" s="114">
        <f t="shared" si="43"/>
        <v>0</v>
      </c>
      <c r="T202" s="114">
        <f t="shared" si="44"/>
        <v>0</v>
      </c>
      <c r="U202" s="114">
        <f t="shared" si="51"/>
        <v>61</v>
      </c>
      <c r="V202" s="114">
        <f t="shared" si="45"/>
        <v>0</v>
      </c>
    </row>
    <row r="203" spans="1:22" ht="56" x14ac:dyDescent="0.3">
      <c r="A203" s="10" t="str">
        <f>Questions!$A203</f>
        <v>HIPA-17</v>
      </c>
      <c r="B203" s="10" t="str">
        <f t="shared" si="46"/>
        <v>HIPA</v>
      </c>
      <c r="C203" s="10" t="str">
        <f>VLOOKUP($A203,Questions!$A$3:$L$333,2,0)&amp;""</f>
        <v>Does your application support varying levels of access to administrative tasks defined individually per user?</v>
      </c>
      <c r="D203" s="10" t="str">
        <f>VLOOKUP($A203,Questions!$A$3:$L$333,11,0)&amp;""</f>
        <v/>
      </c>
      <c r="E203" s="10" t="str">
        <f>VLOOKUP($A203,Questions!$A$3:$L$333,12,0)&amp;""</f>
        <v>Case-specific</v>
      </c>
      <c r="F203" s="10" t="str">
        <f>VLOOKUP($A203,'Institution Evaluation'!$A$56:$K$346,3,0)&amp;""</f>
        <v/>
      </c>
      <c r="G203" s="10" t="str">
        <f>VLOOKUP($A203,'Institution Evaluation'!$A$56:$K$346,7,0)&amp;""</f>
        <v>Yes</v>
      </c>
      <c r="H203" s="10" t="str">
        <f>VLOOKUP($A203,'Institution Evaluation'!$A$56:$K$346,8,0)&amp;""</f>
        <v/>
      </c>
      <c r="I203" s="10" t="str">
        <f>VLOOKUP($A203,'Institution Evaluation'!$A$56:$K$346,9,0)&amp;""</f>
        <v>Standard Importance</v>
      </c>
      <c r="J203" s="10" t="str">
        <f>VLOOKUP($A203,'Institution Evaluation'!$A$56:$K$346,10,0)&amp;""</f>
        <v/>
      </c>
      <c r="K203" s="10">
        <f t="shared" si="47"/>
        <v>10</v>
      </c>
      <c r="L203" s="114">
        <f>IF($E203="Not Scored", "N/A",IF(AND($D203='Auto Responses'!$J$27,$H203=""),"N/A",IF(AND($D203='Auto Responses'!$J$27,$H203='Auto Responses'!$J$7),1,IF(AND($D203='Auto Responses'!$J$27,$H203='Auto Responses'!$J$8),0,IF(OR($F203=$G203,$H203='Auto Responses'!$J$7),1,0)))))</f>
        <v>0</v>
      </c>
      <c r="M203" s="10" t="str">
        <f>VLOOKUP($A203,'Institution Evaluation'!$A$56:$K$346,10,0)&amp;""</f>
        <v/>
      </c>
      <c r="N203" s="10">
        <f t="shared" si="48"/>
        <v>0</v>
      </c>
      <c r="O203" s="114" t="str">
        <f t="shared" si="41"/>
        <v>N/A</v>
      </c>
      <c r="P203" s="114" t="str">
        <f t="shared" si="49"/>
        <v>N/A</v>
      </c>
      <c r="Q203" s="114">
        <f t="shared" si="42"/>
        <v>0</v>
      </c>
      <c r="R203" s="114">
        <f t="shared" si="50"/>
        <v>0</v>
      </c>
      <c r="S203" s="114">
        <f t="shared" si="43"/>
        <v>0</v>
      </c>
      <c r="T203" s="114">
        <f t="shared" si="44"/>
        <v>0</v>
      </c>
      <c r="U203" s="114">
        <f t="shared" si="51"/>
        <v>61</v>
      </c>
      <c r="V203" s="114">
        <f t="shared" si="45"/>
        <v>0</v>
      </c>
    </row>
    <row r="204" spans="1:22" ht="56" x14ac:dyDescent="0.3">
      <c r="A204" s="10" t="str">
        <f>Questions!$A204</f>
        <v>HIPA-18</v>
      </c>
      <c r="B204" s="10" t="str">
        <f t="shared" si="46"/>
        <v>HIPA</v>
      </c>
      <c r="C204" s="10" t="str">
        <f>VLOOKUP($A204,Questions!$A$3:$L$333,2,0)&amp;""</f>
        <v>Does your application support varying levels of access to records based on user ID?</v>
      </c>
      <c r="D204" s="10" t="str">
        <f>VLOOKUP($A204,Questions!$A$3:$L$333,11,0)&amp;""</f>
        <v/>
      </c>
      <c r="E204" s="10" t="str">
        <f>VLOOKUP($A204,Questions!$A$3:$L$333,12,0)&amp;""</f>
        <v>Case-specific</v>
      </c>
      <c r="F204" s="10" t="str">
        <f>VLOOKUP($A204,'Institution Evaluation'!$A$56:$K$346,3,0)&amp;""</f>
        <v/>
      </c>
      <c r="G204" s="10" t="str">
        <f>VLOOKUP($A204,'Institution Evaluation'!$A$56:$K$346,7,0)&amp;""</f>
        <v>No</v>
      </c>
      <c r="H204" s="10" t="str">
        <f>VLOOKUP($A204,'Institution Evaluation'!$A$56:$K$346,8,0)&amp;""</f>
        <v/>
      </c>
      <c r="I204" s="10" t="str">
        <f>VLOOKUP($A204,'Institution Evaluation'!$A$56:$K$346,9,0)&amp;""</f>
        <v>Standard Importance</v>
      </c>
      <c r="J204" s="10" t="str">
        <f>VLOOKUP($A204,'Institution Evaluation'!$A$56:$K$346,10,0)&amp;""</f>
        <v/>
      </c>
      <c r="K204" s="10">
        <f t="shared" si="47"/>
        <v>10</v>
      </c>
      <c r="L204" s="114">
        <f>IF($E204="Not Scored", "N/A",IF(AND($D204='Auto Responses'!$J$27,$H204=""),"N/A",IF(AND($D204='Auto Responses'!$J$27,$H204='Auto Responses'!$J$7),1,IF(AND($D204='Auto Responses'!$J$27,$H204='Auto Responses'!$J$8),0,IF(OR($F204=$G204,$H204='Auto Responses'!$J$7),1,0)))))</f>
        <v>0</v>
      </c>
      <c r="M204" s="10" t="str">
        <f>VLOOKUP($A204,'Institution Evaluation'!$A$56:$K$346,10,0)&amp;""</f>
        <v/>
      </c>
      <c r="N204" s="10">
        <f t="shared" si="48"/>
        <v>0</v>
      </c>
      <c r="O204" s="114" t="str">
        <f t="shared" si="41"/>
        <v>N/A</v>
      </c>
      <c r="P204" s="114" t="str">
        <f t="shared" si="49"/>
        <v>N/A</v>
      </c>
      <c r="Q204" s="114">
        <f t="shared" si="42"/>
        <v>0</v>
      </c>
      <c r="R204" s="114">
        <f t="shared" si="50"/>
        <v>0</v>
      </c>
      <c r="S204" s="114">
        <f t="shared" si="43"/>
        <v>0</v>
      </c>
      <c r="T204" s="114">
        <f t="shared" si="44"/>
        <v>0</v>
      </c>
      <c r="U204" s="114">
        <f t="shared" si="51"/>
        <v>61</v>
      </c>
      <c r="V204" s="114">
        <f t="shared" si="45"/>
        <v>0</v>
      </c>
    </row>
    <row r="205" spans="1:22" ht="56" x14ac:dyDescent="0.3">
      <c r="A205" s="10" t="str">
        <f>Questions!$A205</f>
        <v>HIPA-19</v>
      </c>
      <c r="B205" s="10" t="str">
        <f t="shared" si="46"/>
        <v>HIPA</v>
      </c>
      <c r="C205" s="10" t="str">
        <f>VLOOKUP($A205,Questions!$A$3:$L$333,2,0)&amp;""</f>
        <v>Is there a limit to the number of groups to which a user can be assigned?</v>
      </c>
      <c r="D205" s="10" t="str">
        <f>VLOOKUP($A205,Questions!$A$3:$L$333,11,0)&amp;""</f>
        <v/>
      </c>
      <c r="E205" s="10" t="str">
        <f>VLOOKUP($A205,Questions!$A$3:$L$333,12,0)&amp;""</f>
        <v>Case-specific</v>
      </c>
      <c r="F205" s="10" t="str">
        <f>VLOOKUP($A205,'Institution Evaluation'!$A$56:$K$346,3,0)&amp;""</f>
        <v/>
      </c>
      <c r="G205" s="10" t="str">
        <f>VLOOKUP($A205,'Institution Evaluation'!$A$56:$K$346,7,0)&amp;""</f>
        <v>Yes</v>
      </c>
      <c r="H205" s="10" t="str">
        <f>VLOOKUP($A205,'Institution Evaluation'!$A$56:$K$346,8,0)&amp;""</f>
        <v/>
      </c>
      <c r="I205" s="10" t="str">
        <f>VLOOKUP($A205,'Institution Evaluation'!$A$56:$K$346,9,0)&amp;""</f>
        <v>Standard Importance</v>
      </c>
      <c r="J205" s="10" t="str">
        <f>VLOOKUP($A205,'Institution Evaluation'!$A$56:$K$346,10,0)&amp;""</f>
        <v/>
      </c>
      <c r="K205" s="10">
        <f t="shared" si="47"/>
        <v>10</v>
      </c>
      <c r="L205" s="114">
        <f>IF($E205="Not Scored", "N/A",IF(AND($D205='Auto Responses'!$J$27,$H205=""),"N/A",IF(AND($D205='Auto Responses'!$J$27,$H205='Auto Responses'!$J$7),1,IF(AND($D205='Auto Responses'!$J$27,$H205='Auto Responses'!$J$8),0,IF(OR($F205=$G205,$H205='Auto Responses'!$J$7),1,0)))))</f>
        <v>0</v>
      </c>
      <c r="M205" s="10" t="str">
        <f>VLOOKUP($A205,'Institution Evaluation'!$A$56:$K$346,10,0)&amp;""</f>
        <v/>
      </c>
      <c r="N205" s="10">
        <f t="shared" si="48"/>
        <v>0</v>
      </c>
      <c r="O205" s="114" t="str">
        <f t="shared" si="41"/>
        <v>N/A</v>
      </c>
      <c r="P205" s="114" t="str">
        <f t="shared" si="49"/>
        <v>N/A</v>
      </c>
      <c r="Q205" s="114">
        <f t="shared" si="42"/>
        <v>0</v>
      </c>
      <c r="R205" s="114">
        <f t="shared" si="50"/>
        <v>0</v>
      </c>
      <c r="S205" s="114">
        <f t="shared" si="43"/>
        <v>0</v>
      </c>
      <c r="T205" s="114">
        <f t="shared" si="44"/>
        <v>0</v>
      </c>
      <c r="U205" s="114">
        <f t="shared" si="51"/>
        <v>61</v>
      </c>
      <c r="V205" s="114">
        <f t="shared" si="45"/>
        <v>0</v>
      </c>
    </row>
    <row r="206" spans="1:22" ht="56" x14ac:dyDescent="0.3">
      <c r="A206" s="10" t="str">
        <f>Questions!$A206</f>
        <v>HIPA-20</v>
      </c>
      <c r="B206" s="10" t="str">
        <f t="shared" si="46"/>
        <v>HIPA</v>
      </c>
      <c r="C206" s="10" t="str">
        <f>VLOOKUP($A206,Questions!$A$3:$L$333,2,0)&amp;""</f>
        <v>Do accounts used for solution provider-supplied remote support abide by the same authentication policies and access logging as the rest of the system?</v>
      </c>
      <c r="D206" s="10" t="str">
        <f>VLOOKUP($A206,Questions!$A$3:$L$333,11,0)&amp;""</f>
        <v/>
      </c>
      <c r="E206" s="10" t="str">
        <f>VLOOKUP($A206,Questions!$A$3:$L$333,12,0)&amp;""</f>
        <v>Case-specific</v>
      </c>
      <c r="F206" s="10" t="str">
        <f>VLOOKUP($A206,'Institution Evaluation'!$A$56:$K$346,3,0)&amp;""</f>
        <v/>
      </c>
      <c r="G206" s="10" t="str">
        <f>VLOOKUP($A206,'Institution Evaluation'!$A$56:$K$346,7,0)&amp;""</f>
        <v>Yes</v>
      </c>
      <c r="H206" s="10" t="str">
        <f>VLOOKUP($A206,'Institution Evaluation'!$A$56:$K$346,8,0)&amp;""</f>
        <v/>
      </c>
      <c r="I206" s="10" t="str">
        <f>VLOOKUP($A206,'Institution Evaluation'!$A$56:$K$346,9,0)&amp;""</f>
        <v>Standard Importance</v>
      </c>
      <c r="J206" s="10" t="str">
        <f>VLOOKUP($A206,'Institution Evaluation'!$A$56:$K$346,10,0)&amp;""</f>
        <v/>
      </c>
      <c r="K206" s="10">
        <f t="shared" si="47"/>
        <v>10</v>
      </c>
      <c r="L206" s="114">
        <f>IF($E206="Not Scored", "N/A",IF(AND($D206='Auto Responses'!$J$27,$H206=""),"N/A",IF(AND($D206='Auto Responses'!$J$27,$H206='Auto Responses'!$J$7),1,IF(AND($D206='Auto Responses'!$J$27,$H206='Auto Responses'!$J$8),0,IF(OR($F206=$G206,$H206='Auto Responses'!$J$7),1,0)))))</f>
        <v>0</v>
      </c>
      <c r="M206" s="10" t="str">
        <f>VLOOKUP($A206,'Institution Evaluation'!$A$56:$K$346,10,0)&amp;""</f>
        <v/>
      </c>
      <c r="N206" s="10">
        <f t="shared" si="48"/>
        <v>0</v>
      </c>
      <c r="O206" s="114" t="str">
        <f t="shared" si="41"/>
        <v>N/A</v>
      </c>
      <c r="P206" s="114" t="str">
        <f t="shared" si="49"/>
        <v>N/A</v>
      </c>
      <c r="Q206" s="114">
        <f t="shared" si="42"/>
        <v>0</v>
      </c>
      <c r="R206" s="114">
        <f t="shared" si="50"/>
        <v>0</v>
      </c>
      <c r="S206" s="114">
        <f t="shared" si="43"/>
        <v>0</v>
      </c>
      <c r="T206" s="114">
        <f t="shared" si="44"/>
        <v>0</v>
      </c>
      <c r="U206" s="114">
        <f t="shared" si="51"/>
        <v>61</v>
      </c>
      <c r="V206" s="114">
        <f t="shared" si="45"/>
        <v>0</v>
      </c>
    </row>
    <row r="207" spans="1:22" ht="56" x14ac:dyDescent="0.3">
      <c r="A207" s="10" t="str">
        <f>Questions!$A207</f>
        <v>HIPA-21</v>
      </c>
      <c r="B207" s="10" t="str">
        <f t="shared" si="46"/>
        <v>HIPA</v>
      </c>
      <c r="C207" s="10" t="str">
        <f>VLOOKUP($A207,Questions!$A$3:$L$333,2,0)&amp;""</f>
        <v>Does the application log record access including specific user, date/time of access, and originating IP or device?</v>
      </c>
      <c r="D207" s="10" t="str">
        <f>VLOOKUP($A207,Questions!$A$3:$L$333,11,0)&amp;""</f>
        <v/>
      </c>
      <c r="E207" s="10" t="str">
        <f>VLOOKUP($A207,Questions!$A$3:$L$333,12,0)&amp;""</f>
        <v>Case-specific</v>
      </c>
      <c r="F207" s="10" t="str">
        <f>VLOOKUP($A207,'Institution Evaluation'!$A$56:$K$346,3,0)&amp;""</f>
        <v/>
      </c>
      <c r="G207" s="10" t="str">
        <f>VLOOKUP($A207,'Institution Evaluation'!$A$56:$K$346,7,0)&amp;""</f>
        <v>Yes</v>
      </c>
      <c r="H207" s="10" t="str">
        <f>VLOOKUP($A207,'Institution Evaluation'!$A$56:$K$346,8,0)&amp;""</f>
        <v/>
      </c>
      <c r="I207" s="10" t="str">
        <f>VLOOKUP($A207,'Institution Evaluation'!$A$56:$K$346,9,0)&amp;""</f>
        <v>Standard Importance</v>
      </c>
      <c r="J207" s="10" t="str">
        <f>VLOOKUP($A207,'Institution Evaluation'!$A$56:$K$346,10,0)&amp;""</f>
        <v/>
      </c>
      <c r="K207" s="10">
        <f t="shared" si="47"/>
        <v>10</v>
      </c>
      <c r="L207" s="114">
        <f>IF($E207="Not Scored", "N/A",IF(AND($D207='Auto Responses'!$J$27,$H207=""),"N/A",IF(AND($D207='Auto Responses'!$J$27,$H207='Auto Responses'!$J$7),1,IF(AND($D207='Auto Responses'!$J$27,$H207='Auto Responses'!$J$8),0,IF(OR($F207=$G207,$H207='Auto Responses'!$J$7),1,0)))))</f>
        <v>0</v>
      </c>
      <c r="M207" s="10" t="str">
        <f>VLOOKUP($A207,'Institution Evaluation'!$A$56:$K$346,10,0)&amp;""</f>
        <v/>
      </c>
      <c r="N207" s="10">
        <f t="shared" si="48"/>
        <v>0</v>
      </c>
      <c r="O207" s="114" t="str">
        <f t="shared" si="41"/>
        <v>N/A</v>
      </c>
      <c r="P207" s="114" t="str">
        <f t="shared" si="49"/>
        <v>N/A</v>
      </c>
      <c r="Q207" s="114">
        <f t="shared" si="42"/>
        <v>0</v>
      </c>
      <c r="R207" s="114">
        <f t="shared" si="50"/>
        <v>0</v>
      </c>
      <c r="S207" s="114">
        <f t="shared" si="43"/>
        <v>0</v>
      </c>
      <c r="T207" s="114">
        <f t="shared" si="44"/>
        <v>0</v>
      </c>
      <c r="U207" s="114">
        <f t="shared" si="51"/>
        <v>61</v>
      </c>
      <c r="V207" s="114">
        <f t="shared" si="45"/>
        <v>0</v>
      </c>
    </row>
    <row r="208" spans="1:22" ht="56" x14ac:dyDescent="0.3">
      <c r="A208" s="10" t="str">
        <f>Questions!$A208</f>
        <v>HIPA-22</v>
      </c>
      <c r="B208" s="10" t="str">
        <f t="shared" si="46"/>
        <v>HIPA</v>
      </c>
      <c r="C208" s="10" t="str">
        <f>VLOOKUP($A208,Questions!$A$3:$L$333,2,0)&amp;""</f>
        <v>Does the application log administrative activity, such as user account access changes and password changes, including specific user, date/time of changes, and originating IP or device?</v>
      </c>
      <c r="D208" s="10" t="str">
        <f>VLOOKUP($A208,Questions!$A$3:$L$333,11,0)&amp;""</f>
        <v/>
      </c>
      <c r="E208" s="10" t="str">
        <f>VLOOKUP($A208,Questions!$A$3:$L$333,12,0)&amp;""</f>
        <v>Case-specific</v>
      </c>
      <c r="F208" s="10" t="str">
        <f>VLOOKUP($A208,'Institution Evaluation'!$A$56:$K$346,3,0)&amp;""</f>
        <v/>
      </c>
      <c r="G208" s="10" t="str">
        <f>VLOOKUP($A208,'Institution Evaluation'!$A$56:$K$346,7,0)&amp;""</f>
        <v>Yes</v>
      </c>
      <c r="H208" s="10" t="str">
        <f>VLOOKUP($A208,'Institution Evaluation'!$A$56:$K$346,8,0)&amp;""</f>
        <v/>
      </c>
      <c r="I208" s="10" t="str">
        <f>VLOOKUP($A208,'Institution Evaluation'!$A$56:$K$346,9,0)&amp;""</f>
        <v>Standard Importance</v>
      </c>
      <c r="J208" s="10" t="str">
        <f>VLOOKUP($A208,'Institution Evaluation'!$A$56:$K$346,10,0)&amp;""</f>
        <v/>
      </c>
      <c r="K208" s="10">
        <f t="shared" si="47"/>
        <v>10</v>
      </c>
      <c r="L208" s="114">
        <f>IF($E208="Not Scored", "N/A",IF(AND($D208='Auto Responses'!$J$27,$H208=""),"N/A",IF(AND($D208='Auto Responses'!$J$27,$H208='Auto Responses'!$J$7),1,IF(AND($D208='Auto Responses'!$J$27,$H208='Auto Responses'!$J$8),0,IF(OR($F208=$G208,$H208='Auto Responses'!$J$7),1,0)))))</f>
        <v>0</v>
      </c>
      <c r="M208" s="10" t="str">
        <f>VLOOKUP($A208,'Institution Evaluation'!$A$56:$K$346,10,0)&amp;""</f>
        <v/>
      </c>
      <c r="N208" s="10">
        <f t="shared" si="48"/>
        <v>0</v>
      </c>
      <c r="O208" s="114" t="str">
        <f t="shared" si="41"/>
        <v>N/A</v>
      </c>
      <c r="P208" s="114" t="str">
        <f t="shared" si="49"/>
        <v>N/A</v>
      </c>
      <c r="Q208" s="114">
        <f t="shared" si="42"/>
        <v>0</v>
      </c>
      <c r="R208" s="114">
        <f t="shared" si="50"/>
        <v>0</v>
      </c>
      <c r="S208" s="114">
        <f t="shared" si="43"/>
        <v>0</v>
      </c>
      <c r="T208" s="114">
        <f t="shared" si="44"/>
        <v>0</v>
      </c>
      <c r="U208" s="114">
        <f t="shared" si="51"/>
        <v>61</v>
      </c>
      <c r="V208" s="114">
        <f t="shared" si="45"/>
        <v>0</v>
      </c>
    </row>
    <row r="209" spans="1:22" ht="56" x14ac:dyDescent="0.3">
      <c r="A209" s="10" t="str">
        <f>Questions!$A209</f>
        <v>HIPA-23</v>
      </c>
      <c r="B209" s="10" t="str">
        <f t="shared" si="46"/>
        <v>HIPA</v>
      </c>
      <c r="C209" s="10" t="str">
        <f>VLOOKUP($A209,Questions!$A$3:$L$333,2,0)&amp;""</f>
        <v>Do you retain logs for at least as long as required by HIPAA regulations?</v>
      </c>
      <c r="D209" s="10" t="str">
        <f>VLOOKUP($A209,Questions!$A$3:$L$333,11,0)&amp;""</f>
        <v/>
      </c>
      <c r="E209" s="10" t="str">
        <f>VLOOKUP($A209,Questions!$A$3:$L$333,12,0)&amp;""</f>
        <v>Case-specific</v>
      </c>
      <c r="F209" s="10" t="str">
        <f>VLOOKUP($A209,'Institution Evaluation'!$A$56:$K$346,3,0)&amp;""</f>
        <v/>
      </c>
      <c r="G209" s="10" t="str">
        <f>VLOOKUP($A209,'Institution Evaluation'!$A$56:$K$346,7,0)&amp;""</f>
        <v>Yes</v>
      </c>
      <c r="H209" s="10" t="str">
        <f>VLOOKUP($A209,'Institution Evaluation'!$A$56:$K$346,8,0)&amp;""</f>
        <v/>
      </c>
      <c r="I209" s="10" t="str">
        <f>VLOOKUP($A209,'Institution Evaluation'!$A$56:$K$346,9,0)&amp;""</f>
        <v>Standard Importance</v>
      </c>
      <c r="J209" s="10" t="str">
        <f>VLOOKUP($A209,'Institution Evaluation'!$A$56:$K$346,10,0)&amp;""</f>
        <v/>
      </c>
      <c r="K209" s="10">
        <f t="shared" si="47"/>
        <v>10</v>
      </c>
      <c r="L209" s="114">
        <f>IF($E209="Not Scored", "N/A",IF(AND($D209='Auto Responses'!$J$27,$H209=""),"N/A",IF(AND($D209='Auto Responses'!$J$27,$H209='Auto Responses'!$J$7),1,IF(AND($D209='Auto Responses'!$J$27,$H209='Auto Responses'!$J$8),0,IF(OR($F209=$G209,$H209='Auto Responses'!$J$7),1,0)))))</f>
        <v>0</v>
      </c>
      <c r="M209" s="10" t="str">
        <f>VLOOKUP($A209,'Institution Evaluation'!$A$56:$K$346,10,0)&amp;""</f>
        <v/>
      </c>
      <c r="N209" s="10">
        <f t="shared" si="48"/>
        <v>0</v>
      </c>
      <c r="O209" s="114" t="str">
        <f t="shared" si="41"/>
        <v>N/A</v>
      </c>
      <c r="P209" s="114" t="str">
        <f t="shared" si="49"/>
        <v>N/A</v>
      </c>
      <c r="Q209" s="114">
        <f t="shared" si="42"/>
        <v>0</v>
      </c>
      <c r="R209" s="114">
        <f t="shared" si="50"/>
        <v>0</v>
      </c>
      <c r="S209" s="114">
        <f t="shared" si="43"/>
        <v>0</v>
      </c>
      <c r="T209" s="114">
        <f t="shared" si="44"/>
        <v>0</v>
      </c>
      <c r="U209" s="114">
        <f t="shared" si="51"/>
        <v>61</v>
      </c>
      <c r="V209" s="114">
        <f t="shared" si="45"/>
        <v>0</v>
      </c>
    </row>
    <row r="210" spans="1:22" ht="56" x14ac:dyDescent="0.3">
      <c r="A210" s="10" t="str">
        <f>Questions!$A210</f>
        <v>HIPA-24</v>
      </c>
      <c r="B210" s="10" t="str">
        <f t="shared" si="46"/>
        <v>HIPA</v>
      </c>
      <c r="C210" s="10" t="str">
        <f>VLOOKUP($A210,Questions!$A$3:$L$333,2,0)&amp;""</f>
        <v>Can the application logs be archived?</v>
      </c>
      <c r="D210" s="10" t="str">
        <f>VLOOKUP($A210,Questions!$A$3:$L$333,11,0)&amp;""</f>
        <v/>
      </c>
      <c r="E210" s="10" t="str">
        <f>VLOOKUP($A210,Questions!$A$3:$L$333,12,0)&amp;""</f>
        <v>Case-specific</v>
      </c>
      <c r="F210" s="10" t="str">
        <f>VLOOKUP($A210,'Institution Evaluation'!$A$56:$K$346,3,0)&amp;""</f>
        <v/>
      </c>
      <c r="G210" s="10" t="str">
        <f>VLOOKUP($A210,'Institution Evaluation'!$A$56:$K$346,7,0)&amp;""</f>
        <v>Yes</v>
      </c>
      <c r="H210" s="10" t="str">
        <f>VLOOKUP($A210,'Institution Evaluation'!$A$56:$K$346,8,0)&amp;""</f>
        <v/>
      </c>
      <c r="I210" s="10" t="str">
        <f>VLOOKUP($A210,'Institution Evaluation'!$A$56:$K$346,9,0)&amp;""</f>
        <v>Standard Importance</v>
      </c>
      <c r="J210" s="10" t="str">
        <f>VLOOKUP($A210,'Institution Evaluation'!$A$56:$K$346,10,0)&amp;""</f>
        <v/>
      </c>
      <c r="K210" s="10">
        <f t="shared" si="47"/>
        <v>10</v>
      </c>
      <c r="L210" s="114">
        <f>IF($E210="Not Scored", "N/A",IF(AND($D210='Auto Responses'!$J$27,$H210=""),"N/A",IF(AND($D210='Auto Responses'!$J$27,$H210='Auto Responses'!$J$7),1,IF(AND($D210='Auto Responses'!$J$27,$H210='Auto Responses'!$J$8),0,IF(OR($F210=$G210,$H210='Auto Responses'!$J$7),1,0)))))</f>
        <v>0</v>
      </c>
      <c r="M210" s="10" t="str">
        <f>VLOOKUP($A210,'Institution Evaluation'!$A$56:$K$346,10,0)&amp;""</f>
        <v/>
      </c>
      <c r="N210" s="10">
        <f t="shared" si="48"/>
        <v>0</v>
      </c>
      <c r="O210" s="114" t="str">
        <f t="shared" si="41"/>
        <v>N/A</v>
      </c>
      <c r="P210" s="114" t="str">
        <f t="shared" si="49"/>
        <v>N/A</v>
      </c>
      <c r="Q210" s="114">
        <f t="shared" si="42"/>
        <v>0</v>
      </c>
      <c r="R210" s="114">
        <f t="shared" si="50"/>
        <v>0</v>
      </c>
      <c r="S210" s="114">
        <f t="shared" si="43"/>
        <v>0</v>
      </c>
      <c r="T210" s="114">
        <f t="shared" si="44"/>
        <v>0</v>
      </c>
      <c r="U210" s="114">
        <f t="shared" si="51"/>
        <v>61</v>
      </c>
      <c r="V210" s="114">
        <f t="shared" si="45"/>
        <v>0</v>
      </c>
    </row>
    <row r="211" spans="1:22" ht="56" x14ac:dyDescent="0.3">
      <c r="A211" s="10" t="str">
        <f>Questions!$A211</f>
        <v>HIPA-25</v>
      </c>
      <c r="B211" s="10" t="str">
        <f t="shared" si="46"/>
        <v>HIPA</v>
      </c>
      <c r="C211" s="10" t="str">
        <f>VLOOKUP($A211,Questions!$A$3:$L$333,2,0)&amp;""</f>
        <v>Can the application logs be saved externally?</v>
      </c>
      <c r="D211" s="10" t="str">
        <f>VLOOKUP($A211,Questions!$A$3:$L$333,11,0)&amp;""</f>
        <v/>
      </c>
      <c r="E211" s="10" t="str">
        <f>VLOOKUP($A211,Questions!$A$3:$L$333,12,0)&amp;""</f>
        <v>Case-specific</v>
      </c>
      <c r="F211" s="10" t="str">
        <f>VLOOKUP($A211,'Institution Evaluation'!$A$56:$K$346,3,0)&amp;""</f>
        <v/>
      </c>
      <c r="G211" s="10" t="str">
        <f>VLOOKUP($A211,'Institution Evaluation'!$A$56:$K$346,7,0)&amp;""</f>
        <v>Yes</v>
      </c>
      <c r="H211" s="10" t="str">
        <f>VLOOKUP($A211,'Institution Evaluation'!$A$56:$K$346,8,0)&amp;""</f>
        <v/>
      </c>
      <c r="I211" s="10" t="str">
        <f>VLOOKUP($A211,'Institution Evaluation'!$A$56:$K$346,9,0)&amp;""</f>
        <v>Standard Importance</v>
      </c>
      <c r="J211" s="10" t="str">
        <f>VLOOKUP($A211,'Institution Evaluation'!$A$56:$K$346,10,0)&amp;""</f>
        <v/>
      </c>
      <c r="K211" s="10">
        <f t="shared" si="47"/>
        <v>10</v>
      </c>
      <c r="L211" s="114">
        <f>IF($E211="Not Scored", "N/A",IF(AND($D211='Auto Responses'!$J$27,$H211=""),"N/A",IF(AND($D211='Auto Responses'!$J$27,$H211='Auto Responses'!$J$7),1,IF(AND($D211='Auto Responses'!$J$27,$H211='Auto Responses'!$J$8),0,IF(OR($F211=$G211,$H211='Auto Responses'!$J$7),1,0)))))</f>
        <v>0</v>
      </c>
      <c r="M211" s="10" t="str">
        <f>VLOOKUP($A211,'Institution Evaluation'!$A$56:$K$346,10,0)&amp;""</f>
        <v/>
      </c>
      <c r="N211" s="10">
        <f t="shared" si="48"/>
        <v>0</v>
      </c>
      <c r="O211" s="114" t="str">
        <f t="shared" si="41"/>
        <v>N/A</v>
      </c>
      <c r="P211" s="114" t="str">
        <f t="shared" si="49"/>
        <v>N/A</v>
      </c>
      <c r="Q211" s="114">
        <f t="shared" si="42"/>
        <v>0</v>
      </c>
      <c r="R211" s="114">
        <f t="shared" si="50"/>
        <v>0</v>
      </c>
      <c r="S211" s="114">
        <f t="shared" si="43"/>
        <v>0</v>
      </c>
      <c r="T211" s="114">
        <f t="shared" si="44"/>
        <v>0</v>
      </c>
      <c r="U211" s="114">
        <f t="shared" si="51"/>
        <v>61</v>
      </c>
      <c r="V211" s="114">
        <f t="shared" si="45"/>
        <v>0</v>
      </c>
    </row>
    <row r="212" spans="1:22" ht="56" x14ac:dyDescent="0.3">
      <c r="A212" s="10" t="str">
        <f>Questions!$A212</f>
        <v>HIPA-26</v>
      </c>
      <c r="B212" s="10" t="str">
        <f t="shared" si="46"/>
        <v>HIPA</v>
      </c>
      <c r="C212" s="10" t="str">
        <f>VLOOKUP($A212,Questions!$A$3:$L$333,2,0)&amp;""</f>
        <v>Do you have a disaster recovery plan and emergency mode operation plan?</v>
      </c>
      <c r="D212" s="10" t="str">
        <f>VLOOKUP($A212,Questions!$A$3:$L$333,11,0)&amp;""</f>
        <v/>
      </c>
      <c r="E212" s="10" t="str">
        <f>VLOOKUP($A212,Questions!$A$3:$L$333,12,0)&amp;""</f>
        <v>Case-specific</v>
      </c>
      <c r="F212" s="10" t="str">
        <f>VLOOKUP($A212,'Institution Evaluation'!$A$56:$K$346,3,0)&amp;""</f>
        <v/>
      </c>
      <c r="G212" s="10" t="str">
        <f>VLOOKUP($A212,'Institution Evaluation'!$A$56:$K$346,7,0)&amp;""</f>
        <v>Yes</v>
      </c>
      <c r="H212" s="10" t="str">
        <f>VLOOKUP($A212,'Institution Evaluation'!$A$56:$K$346,8,0)&amp;""</f>
        <v/>
      </c>
      <c r="I212" s="10" t="str">
        <f>VLOOKUP($A212,'Institution Evaluation'!$A$56:$K$346,9,0)&amp;""</f>
        <v>Standard Importance</v>
      </c>
      <c r="J212" s="10" t="str">
        <f>VLOOKUP($A212,'Institution Evaluation'!$A$56:$K$346,10,0)&amp;""</f>
        <v/>
      </c>
      <c r="K212" s="10">
        <f t="shared" si="47"/>
        <v>10</v>
      </c>
      <c r="L212" s="114">
        <f>IF($E212="Not Scored", "N/A",IF(AND($D212='Auto Responses'!$J$27,$H212=""),"N/A",IF(AND($D212='Auto Responses'!$J$27,$H212='Auto Responses'!$J$7),1,IF(AND($D212='Auto Responses'!$J$27,$H212='Auto Responses'!$J$8),0,IF(OR($F212=$G212,$H212='Auto Responses'!$J$7),1,0)))))</f>
        <v>0</v>
      </c>
      <c r="M212" s="10" t="str">
        <f>VLOOKUP($A212,'Institution Evaluation'!$A$56:$K$346,10,0)&amp;""</f>
        <v/>
      </c>
      <c r="N212" s="10">
        <f t="shared" si="48"/>
        <v>0</v>
      </c>
      <c r="O212" s="114" t="str">
        <f t="shared" si="41"/>
        <v>N/A</v>
      </c>
      <c r="P212" s="114" t="str">
        <f t="shared" si="49"/>
        <v>N/A</v>
      </c>
      <c r="Q212" s="114">
        <f t="shared" si="42"/>
        <v>0</v>
      </c>
      <c r="R212" s="114">
        <f t="shared" si="50"/>
        <v>0</v>
      </c>
      <c r="S212" s="114">
        <f t="shared" si="43"/>
        <v>0</v>
      </c>
      <c r="T212" s="114">
        <f t="shared" si="44"/>
        <v>0</v>
      </c>
      <c r="U212" s="114">
        <f t="shared" si="51"/>
        <v>61</v>
      </c>
      <c r="V212" s="114">
        <f t="shared" si="45"/>
        <v>0</v>
      </c>
    </row>
    <row r="213" spans="1:22" ht="56" x14ac:dyDescent="0.3">
      <c r="A213" s="10" t="str">
        <f>Questions!$A213</f>
        <v>HIPA-27</v>
      </c>
      <c r="B213" s="10" t="str">
        <f t="shared" si="46"/>
        <v>HIPA</v>
      </c>
      <c r="C213" s="10" t="str">
        <f>VLOOKUP($A213,Questions!$A$3:$L$333,2,0)&amp;""</f>
        <v>Can you provide a HIPAA compliance attestation document?</v>
      </c>
      <c r="D213" s="10" t="str">
        <f>VLOOKUP($A213,Questions!$A$3:$L$333,11,0)&amp;""</f>
        <v/>
      </c>
      <c r="E213" s="10" t="str">
        <f>VLOOKUP($A213,Questions!$A$3:$L$333,12,0)&amp;""</f>
        <v>Case-specific</v>
      </c>
      <c r="F213" s="10" t="str">
        <f>VLOOKUP($A213,'Institution Evaluation'!$A$56:$K$346,3,0)&amp;""</f>
        <v/>
      </c>
      <c r="G213" s="10" t="str">
        <f>VLOOKUP($A213,'Institution Evaluation'!$A$56:$K$346,7,0)&amp;""</f>
        <v>Yes</v>
      </c>
      <c r="H213" s="10" t="str">
        <f>VLOOKUP($A213,'Institution Evaluation'!$A$56:$K$346,8,0)&amp;""</f>
        <v/>
      </c>
      <c r="I213" s="10" t="str">
        <f>VLOOKUP($A213,'Institution Evaluation'!$A$56:$K$346,9,0)&amp;""</f>
        <v>Standard Importance</v>
      </c>
      <c r="J213" s="10" t="str">
        <f>VLOOKUP($A213,'Institution Evaluation'!$A$56:$K$346,10,0)&amp;""</f>
        <v/>
      </c>
      <c r="K213" s="10">
        <f t="shared" si="47"/>
        <v>10</v>
      </c>
      <c r="L213" s="114">
        <f>IF($E213="Not Scored", "N/A",IF(AND($D213='Auto Responses'!$J$27,$H213=""),"N/A",IF(AND($D213='Auto Responses'!$J$27,$H213='Auto Responses'!$J$7),1,IF(AND($D213='Auto Responses'!$J$27,$H213='Auto Responses'!$J$8),0,IF(OR($F213=$G213,$H213='Auto Responses'!$J$7),1,0)))))</f>
        <v>0</v>
      </c>
      <c r="M213" s="10" t="str">
        <f>VLOOKUP($A213,'Institution Evaluation'!$A$56:$K$346,10,0)&amp;""</f>
        <v/>
      </c>
      <c r="N213" s="10">
        <f t="shared" si="48"/>
        <v>0</v>
      </c>
      <c r="O213" s="114" t="str">
        <f t="shared" si="41"/>
        <v>N/A</v>
      </c>
      <c r="P213" s="114" t="str">
        <f t="shared" si="49"/>
        <v>N/A</v>
      </c>
      <c r="Q213" s="114">
        <f t="shared" si="42"/>
        <v>0</v>
      </c>
      <c r="R213" s="114">
        <f t="shared" si="50"/>
        <v>0</v>
      </c>
      <c r="S213" s="114">
        <f t="shared" si="43"/>
        <v>0</v>
      </c>
      <c r="T213" s="114">
        <f t="shared" si="44"/>
        <v>0</v>
      </c>
      <c r="U213" s="114">
        <f t="shared" si="51"/>
        <v>61</v>
      </c>
      <c r="V213" s="114">
        <f t="shared" si="45"/>
        <v>0</v>
      </c>
    </row>
    <row r="214" spans="1:22" ht="56" x14ac:dyDescent="0.3">
      <c r="A214" s="10" t="str">
        <f>Questions!$A214</f>
        <v>HIPA-28</v>
      </c>
      <c r="B214" s="10" t="str">
        <f t="shared" si="46"/>
        <v>HIPA</v>
      </c>
      <c r="C214" s="10" t="str">
        <f>VLOOKUP($A214,Questions!$A$3:$L$333,2,0)&amp;""</f>
        <v>Are you willing to enter into a Business Associate Agreement (BAA)?</v>
      </c>
      <c r="D214" s="10" t="str">
        <f>VLOOKUP($A214,Questions!$A$3:$L$333,11,0)&amp;""</f>
        <v/>
      </c>
      <c r="E214" s="10" t="str">
        <f>VLOOKUP($A214,Questions!$A$3:$L$333,12,0)&amp;""</f>
        <v>Case-specific</v>
      </c>
      <c r="F214" s="10" t="str">
        <f>VLOOKUP($A214,'Institution Evaluation'!$A$56:$K$346,3,0)&amp;""</f>
        <v/>
      </c>
      <c r="G214" s="10" t="str">
        <f>VLOOKUP($A214,'Institution Evaluation'!$A$56:$K$346,7,0)&amp;""</f>
        <v>Yes</v>
      </c>
      <c r="H214" s="10" t="str">
        <f>VLOOKUP($A214,'Institution Evaluation'!$A$56:$K$346,8,0)&amp;""</f>
        <v/>
      </c>
      <c r="I214" s="10" t="str">
        <f>VLOOKUP($A214,'Institution Evaluation'!$A$56:$K$346,9,0)&amp;""</f>
        <v>Standard Importance</v>
      </c>
      <c r="J214" s="10" t="str">
        <f>VLOOKUP($A214,'Institution Evaluation'!$A$56:$K$346,10,0)&amp;""</f>
        <v/>
      </c>
      <c r="K214" s="10">
        <f t="shared" si="47"/>
        <v>10</v>
      </c>
      <c r="L214" s="114">
        <f>IF($E214="Not Scored", "N/A",IF(AND($D214='Auto Responses'!$J$27,$H214=""),"N/A",IF(AND($D214='Auto Responses'!$J$27,$H214='Auto Responses'!$J$7),1,IF(AND($D214='Auto Responses'!$J$27,$H214='Auto Responses'!$J$8),0,IF(OR($F214=$G214,$H214='Auto Responses'!$J$7),1,0)))))</f>
        <v>0</v>
      </c>
      <c r="M214" s="10" t="str">
        <f>VLOOKUP($A214,'Institution Evaluation'!$A$56:$K$346,10,0)&amp;""</f>
        <v/>
      </c>
      <c r="N214" s="10">
        <f t="shared" si="48"/>
        <v>0</v>
      </c>
      <c r="O214" s="114" t="str">
        <f t="shared" si="41"/>
        <v>N/A</v>
      </c>
      <c r="P214" s="114" t="str">
        <f t="shared" si="49"/>
        <v>N/A</v>
      </c>
      <c r="Q214" s="114">
        <f t="shared" si="42"/>
        <v>0</v>
      </c>
      <c r="R214" s="114">
        <f t="shared" si="50"/>
        <v>0</v>
      </c>
      <c r="S214" s="114">
        <f t="shared" si="43"/>
        <v>0</v>
      </c>
      <c r="T214" s="114">
        <f t="shared" si="44"/>
        <v>0</v>
      </c>
      <c r="U214" s="114">
        <f t="shared" si="51"/>
        <v>61</v>
      </c>
      <c r="V214" s="114">
        <f t="shared" si="45"/>
        <v>0</v>
      </c>
    </row>
    <row r="215" spans="1:22" ht="56" x14ac:dyDescent="0.3">
      <c r="A215" s="10" t="str">
        <f>Questions!$A215</f>
        <v>HIPA-29</v>
      </c>
      <c r="B215" s="10" t="str">
        <f t="shared" si="46"/>
        <v>HIPA</v>
      </c>
      <c r="C215" s="10" t="str">
        <f>VLOOKUP($A215,Questions!$A$3:$L$333,2,0)&amp;""</f>
        <v>Do your data backup and retention policies and practices meet HIPAA requirements?</v>
      </c>
      <c r="D215" s="10" t="str">
        <f>VLOOKUP($A215,Questions!$A$3:$L$333,11,0)&amp;""</f>
        <v/>
      </c>
      <c r="E215" s="10" t="str">
        <f>VLOOKUP($A215,Questions!$A$3:$L$333,12,0)&amp;""</f>
        <v>Case-specific</v>
      </c>
      <c r="F215" s="10" t="str">
        <f>VLOOKUP($A215,'Institution Evaluation'!$A$56:$K$346,3,0)&amp;""</f>
        <v/>
      </c>
      <c r="G215" s="10" t="str">
        <f>VLOOKUP($A215,'Institution Evaluation'!$A$56:$K$346,7,0)&amp;""</f>
        <v>Yes</v>
      </c>
      <c r="H215" s="10" t="str">
        <f>VLOOKUP($A215,'Institution Evaluation'!$A$56:$K$346,8,0)&amp;""</f>
        <v/>
      </c>
      <c r="I215" s="10" t="str">
        <f>VLOOKUP($A215,'Institution Evaluation'!$A$56:$K$346,9,0)&amp;""</f>
        <v>Minor Importance</v>
      </c>
      <c r="J215" s="10" t="str">
        <f>VLOOKUP($A215,'Institution Evaluation'!$A$56:$K$346,10,0)&amp;""</f>
        <v/>
      </c>
      <c r="K215" s="10">
        <f t="shared" si="47"/>
        <v>5</v>
      </c>
      <c r="L215" s="114">
        <f>IF($E215="Not Scored", "N/A",IF(AND($D215='Auto Responses'!$J$27,$H215=""),"N/A",IF(AND($D215='Auto Responses'!$J$27,$H215='Auto Responses'!$J$7),1,IF(AND($D215='Auto Responses'!$J$27,$H215='Auto Responses'!$J$8),0,IF(OR($F215=$G215,$H215='Auto Responses'!$J$7),1,0)))))</f>
        <v>0</v>
      </c>
      <c r="M215" s="10" t="str">
        <f>VLOOKUP($A215,'Institution Evaluation'!$A$56:$K$346,10,0)&amp;""</f>
        <v/>
      </c>
      <c r="N215" s="10">
        <f t="shared" si="48"/>
        <v>0</v>
      </c>
      <c r="O215" s="114" t="str">
        <f t="shared" si="41"/>
        <v>N/A</v>
      </c>
      <c r="P215" s="114" t="str">
        <f t="shared" si="49"/>
        <v>N/A</v>
      </c>
      <c r="Q215" s="114">
        <f t="shared" si="42"/>
        <v>0</v>
      </c>
      <c r="R215" s="114">
        <f t="shared" si="50"/>
        <v>0</v>
      </c>
      <c r="S215" s="114">
        <f t="shared" si="43"/>
        <v>0</v>
      </c>
      <c r="T215" s="114">
        <f t="shared" si="44"/>
        <v>0</v>
      </c>
      <c r="U215" s="114">
        <f t="shared" si="51"/>
        <v>61</v>
      </c>
      <c r="V215" s="114">
        <f t="shared" si="45"/>
        <v>0</v>
      </c>
    </row>
    <row r="216" spans="1:22" ht="56" x14ac:dyDescent="0.3">
      <c r="A216" s="10" t="str">
        <f>Questions!$A216</f>
        <v>PCID-01</v>
      </c>
      <c r="B216" s="10" t="str">
        <f t="shared" si="46"/>
        <v>PCID</v>
      </c>
      <c r="C216" s="10" t="str">
        <f>VLOOKUP($A216,Questions!$A$3:$L$333,2,0)&amp;""</f>
        <v>Do you have a current, executed within the past year, Attestation of Compliance (AoC) or Report on Compliance (RoC)?*</v>
      </c>
      <c r="D216" s="10" t="str">
        <f>VLOOKUP($A216,Questions!$A$3:$L$333,11,0)&amp;""</f>
        <v/>
      </c>
      <c r="E216" s="10" t="str">
        <f>VLOOKUP($A216,Questions!$A$3:$L$333,12,0)&amp;""</f>
        <v>Case-Specific</v>
      </c>
      <c r="F216" s="10" t="str">
        <f>VLOOKUP($A216,'Institution Evaluation'!$A$56:$K$346,3,0)&amp;""</f>
        <v/>
      </c>
      <c r="G216" s="10" t="str">
        <f>VLOOKUP($A216,'Institution Evaluation'!$A$56:$K$346,7,0)&amp;""</f>
        <v>Yes</v>
      </c>
      <c r="H216" s="10" t="str">
        <f>VLOOKUP($A216,'Institution Evaluation'!$A$56:$K$346,8,0)&amp;""</f>
        <v/>
      </c>
      <c r="I216" s="10" t="str">
        <f>VLOOKUP($A216,'Institution Evaluation'!$A$56:$K$346,9,0)&amp;""</f>
        <v>Critical Importance</v>
      </c>
      <c r="J216" s="10" t="str">
        <f>VLOOKUP($A216,'Institution Evaluation'!$A$56:$K$346,10,0)&amp;""</f>
        <v/>
      </c>
      <c r="K216" s="10">
        <f t="shared" si="47"/>
        <v>20</v>
      </c>
      <c r="L216" s="114">
        <f>IF($E216="Not Scored", "N/A",IF(AND($D216='Auto Responses'!$J$27,$H216=""),"N/A",IF(AND($D216='Auto Responses'!$J$27,$H216='Auto Responses'!$J$7),1,IF(AND($D216='Auto Responses'!$J$27,$H216='Auto Responses'!$J$8),0,IF(OR($F216=$G216,$H216='Auto Responses'!$J$7),1,0)))))</f>
        <v>0</v>
      </c>
      <c r="M216" s="10" t="str">
        <f>VLOOKUP($A216,'Institution Evaluation'!$A$56:$K$346,10,0)&amp;""</f>
        <v/>
      </c>
      <c r="N216" s="10">
        <f t="shared" si="48"/>
        <v>1</v>
      </c>
      <c r="O216" s="114" t="str">
        <f>IF(OR($F$22="No",$E216="Not Scored"),"N/A",IF($J216="",$K216,IF($J216="Minor Importance",5,IF($J216="Standard Importance",10,IF($J216="Critical Importance",20,0)))))</f>
        <v>N/A</v>
      </c>
      <c r="P216" s="114" t="str">
        <f t="shared" si="49"/>
        <v>N/A</v>
      </c>
      <c r="Q216" s="114">
        <f t="shared" si="42"/>
        <v>0</v>
      </c>
      <c r="R216" s="114">
        <f t="shared" si="50"/>
        <v>0</v>
      </c>
      <c r="S216" s="114">
        <f t="shared" si="43"/>
        <v>0</v>
      </c>
      <c r="T216" s="114">
        <f t="shared" si="44"/>
        <v>1</v>
      </c>
      <c r="U216" s="114">
        <f t="shared" si="51"/>
        <v>62</v>
      </c>
      <c r="V216" s="114">
        <f t="shared" si="45"/>
        <v>62</v>
      </c>
    </row>
    <row r="217" spans="1:22" ht="56" x14ac:dyDescent="0.3">
      <c r="A217" s="10" t="str">
        <f>Questions!$A217</f>
        <v>PCID-02</v>
      </c>
      <c r="B217" s="10" t="str">
        <f t="shared" si="46"/>
        <v>PCID</v>
      </c>
      <c r="C217" s="10" t="str">
        <f>VLOOKUP($A217,Questions!$A$3:$L$333,2,0)&amp;""</f>
        <v>Is the application listed as an approved Payment Application Data Security Standard (PA-DSS) application?*</v>
      </c>
      <c r="D217" s="10" t="str">
        <f>VLOOKUP($A217,Questions!$A$3:$L$333,11,0)&amp;""</f>
        <v/>
      </c>
      <c r="E217" s="10" t="str">
        <f>VLOOKUP($A217,Questions!$A$3:$L$333,12,0)&amp;""</f>
        <v>Case-Specific</v>
      </c>
      <c r="F217" s="10" t="str">
        <f>VLOOKUP($A217,'Institution Evaluation'!$A$56:$K$346,3,0)&amp;""</f>
        <v/>
      </c>
      <c r="G217" s="10" t="str">
        <f>VLOOKUP($A217,'Institution Evaluation'!$A$56:$K$346,7,0)&amp;""</f>
        <v>No</v>
      </c>
      <c r="H217" s="10" t="str">
        <f>VLOOKUP($A217,'Institution Evaluation'!$A$56:$K$346,8,0)&amp;""</f>
        <v/>
      </c>
      <c r="I217" s="10" t="str">
        <f>VLOOKUP($A217,'Institution Evaluation'!$A$56:$K$346,9,0)&amp;""</f>
        <v>Critical Importance</v>
      </c>
      <c r="J217" s="10" t="str">
        <f>VLOOKUP($A217,'Institution Evaluation'!$A$56:$K$346,10,0)&amp;""</f>
        <v/>
      </c>
      <c r="K217" s="10">
        <f t="shared" si="47"/>
        <v>20</v>
      </c>
      <c r="L217" s="114">
        <f>IF($E217="Not Scored", "N/A",IF(AND($D217='Auto Responses'!$J$27,$H217=""),"N/A",IF(AND($D217='Auto Responses'!$J$27,$H217='Auto Responses'!$J$7),1,IF(AND($D217='Auto Responses'!$J$27,$H217='Auto Responses'!$J$8),0,IF(OR($F217=$G217,$H217='Auto Responses'!$J$7),1,0)))))</f>
        <v>0</v>
      </c>
      <c r="M217" s="10" t="str">
        <f>VLOOKUP($A217,'Institution Evaluation'!$A$56:$K$346,10,0)&amp;""</f>
        <v/>
      </c>
      <c r="N217" s="10">
        <f t="shared" si="48"/>
        <v>1</v>
      </c>
      <c r="O217" s="114" t="str">
        <f t="shared" ref="O217:O227" si="52">IF(OR($F$22="No",$E217="Not Scored"),"N/A",IF($J217="",$K217,IF($J217="Minor Importance",5,IF($J217="Standard Importance",10,IF($J217="Critical Importance",20,0)))))</f>
        <v>N/A</v>
      </c>
      <c r="P217" s="114" t="str">
        <f t="shared" si="49"/>
        <v>N/A</v>
      </c>
      <c r="Q217" s="114">
        <f t="shared" si="42"/>
        <v>0</v>
      </c>
      <c r="R217" s="114">
        <f t="shared" si="50"/>
        <v>0</v>
      </c>
      <c r="S217" s="114">
        <f t="shared" si="43"/>
        <v>0</v>
      </c>
      <c r="T217" s="114">
        <f t="shared" si="44"/>
        <v>1</v>
      </c>
      <c r="U217" s="114">
        <f t="shared" si="51"/>
        <v>63</v>
      </c>
      <c r="V217" s="114">
        <f t="shared" si="45"/>
        <v>63</v>
      </c>
    </row>
    <row r="218" spans="1:22" ht="56" x14ac:dyDescent="0.3">
      <c r="A218" s="10" t="str">
        <f>Questions!$A218</f>
        <v>PCID-03</v>
      </c>
      <c r="B218" s="10" t="str">
        <f t="shared" si="46"/>
        <v>PCID</v>
      </c>
      <c r="C218" s="10" t="str">
        <f>VLOOKUP($A218,Questions!$A$3:$L$333,2,0)&amp;""</f>
        <v>Does the system or solutions use a third party to collect, store, process, or transmit cardholder (payment/credit/debt card) data?*</v>
      </c>
      <c r="D218" s="10" t="str">
        <f>VLOOKUP($A218,Questions!$A$3:$L$333,11,0)&amp;""</f>
        <v/>
      </c>
      <c r="E218" s="10" t="str">
        <f>VLOOKUP($A218,Questions!$A$3:$L$333,12,0)&amp;""</f>
        <v>Case-Specific</v>
      </c>
      <c r="F218" s="10" t="str">
        <f>VLOOKUP($A218,'Institution Evaluation'!$A$56:$K$346,3,0)&amp;""</f>
        <v/>
      </c>
      <c r="G218" s="10" t="str">
        <f>VLOOKUP($A218,'Institution Evaluation'!$A$56:$K$346,7,0)&amp;""</f>
        <v>No</v>
      </c>
      <c r="H218" s="10" t="str">
        <f>VLOOKUP($A218,'Institution Evaluation'!$A$56:$K$346,8,0)&amp;""</f>
        <v/>
      </c>
      <c r="I218" s="10" t="str">
        <f>VLOOKUP($A218,'Institution Evaluation'!$A$56:$K$346,9,0)&amp;""</f>
        <v>Critical Importance</v>
      </c>
      <c r="J218" s="10" t="str">
        <f>VLOOKUP($A218,'Institution Evaluation'!$A$56:$K$346,10,0)&amp;""</f>
        <v/>
      </c>
      <c r="K218" s="10">
        <f t="shared" si="47"/>
        <v>20</v>
      </c>
      <c r="L218" s="114">
        <f>IF($E218="Not Scored", "N/A",IF(AND($D218='Auto Responses'!$J$27,$H218=""),"N/A",IF(AND($D218='Auto Responses'!$J$27,$H218='Auto Responses'!$J$7),1,IF(AND($D218='Auto Responses'!$J$27,$H218='Auto Responses'!$J$8),0,IF(OR($F218=$G218,$H218='Auto Responses'!$J$7),1,0)))))</f>
        <v>0</v>
      </c>
      <c r="M218" s="10" t="str">
        <f>VLOOKUP($A218,'Institution Evaluation'!$A$56:$K$346,10,0)&amp;""</f>
        <v/>
      </c>
      <c r="N218" s="10">
        <f t="shared" si="48"/>
        <v>1</v>
      </c>
      <c r="O218" s="114" t="str">
        <f t="shared" si="52"/>
        <v>N/A</v>
      </c>
      <c r="P218" s="114" t="str">
        <f t="shared" si="49"/>
        <v>N/A</v>
      </c>
      <c r="Q218" s="114">
        <f t="shared" si="42"/>
        <v>0</v>
      </c>
      <c r="R218" s="114">
        <f t="shared" si="50"/>
        <v>0</v>
      </c>
      <c r="S218" s="114">
        <f t="shared" si="43"/>
        <v>0</v>
      </c>
      <c r="T218" s="114">
        <f t="shared" si="44"/>
        <v>1</v>
      </c>
      <c r="U218" s="114">
        <f t="shared" si="51"/>
        <v>64</v>
      </c>
      <c r="V218" s="114">
        <f t="shared" si="45"/>
        <v>64</v>
      </c>
    </row>
    <row r="219" spans="1:22" ht="56" x14ac:dyDescent="0.3">
      <c r="A219" s="10" t="str">
        <f>Questions!$A219</f>
        <v>PCID-04</v>
      </c>
      <c r="B219" s="10" t="str">
        <f t="shared" si="46"/>
        <v>PCID</v>
      </c>
      <c r="C219" s="10" t="str">
        <f>VLOOKUP($A219,Questions!$A$3:$L$333,2,0)&amp;""</f>
        <v>Do your systems or solutions store, process, or transmit cardholder (payment/credit/debt card) data?</v>
      </c>
      <c r="D219" s="10" t="str">
        <f>VLOOKUP($A219,Questions!$A$3:$L$333,11,0)&amp;""</f>
        <v/>
      </c>
      <c r="E219" s="10" t="str">
        <f>VLOOKUP($A219,Questions!$A$3:$L$333,12,0)&amp;""</f>
        <v>Case-Specific</v>
      </c>
      <c r="F219" s="10" t="str">
        <f>VLOOKUP($A219,'Institution Evaluation'!$A$56:$K$346,3,0)&amp;""</f>
        <v/>
      </c>
      <c r="G219" s="10" t="str">
        <f>VLOOKUP($A219,'Institution Evaluation'!$A$56:$K$346,7,0)&amp;""</f>
        <v>Yes</v>
      </c>
      <c r="H219" s="10" t="str">
        <f>VLOOKUP($A219,'Institution Evaluation'!$A$56:$K$346,8,0)&amp;""</f>
        <v/>
      </c>
      <c r="I219" s="10" t="str">
        <f>VLOOKUP($A219,'Institution Evaluation'!$A$56:$K$346,9,0)&amp;""</f>
        <v>Standard Importance</v>
      </c>
      <c r="J219" s="10" t="str">
        <f>VLOOKUP($A219,'Institution Evaluation'!$A$56:$K$346,10,0)&amp;""</f>
        <v/>
      </c>
      <c r="K219" s="10">
        <f t="shared" si="47"/>
        <v>10</v>
      </c>
      <c r="L219" s="114">
        <f>IF($E219="Not Scored", "N/A",IF(AND($D219='Auto Responses'!$J$27,$H219=""),"N/A",IF(AND($D219='Auto Responses'!$J$27,$H219='Auto Responses'!$J$7),1,IF(AND($D219='Auto Responses'!$J$27,$H219='Auto Responses'!$J$8),0,IF(OR($F219=$G219,$H219='Auto Responses'!$J$7),1,0)))))</f>
        <v>0</v>
      </c>
      <c r="M219" s="10" t="str">
        <f>VLOOKUP($A219,'Institution Evaluation'!$A$56:$K$346,10,0)&amp;""</f>
        <v/>
      </c>
      <c r="N219" s="10">
        <f t="shared" si="48"/>
        <v>0</v>
      </c>
      <c r="O219" s="114" t="str">
        <f t="shared" si="52"/>
        <v>N/A</v>
      </c>
      <c r="P219" s="114" t="str">
        <f t="shared" si="49"/>
        <v>N/A</v>
      </c>
      <c r="Q219" s="114">
        <f t="shared" si="42"/>
        <v>0</v>
      </c>
      <c r="R219" s="114">
        <f t="shared" si="50"/>
        <v>0</v>
      </c>
      <c r="S219" s="114">
        <f t="shared" si="43"/>
        <v>0</v>
      </c>
      <c r="T219" s="114">
        <f t="shared" si="44"/>
        <v>0</v>
      </c>
      <c r="U219" s="114">
        <f t="shared" si="51"/>
        <v>64</v>
      </c>
      <c r="V219" s="114">
        <f t="shared" si="45"/>
        <v>0</v>
      </c>
    </row>
    <row r="220" spans="1:22" ht="56" x14ac:dyDescent="0.3">
      <c r="A220" s="10" t="str">
        <f>Questions!$A220</f>
        <v>PCID-05</v>
      </c>
      <c r="B220" s="10" t="str">
        <f t="shared" si="46"/>
        <v>PCID</v>
      </c>
      <c r="C220" s="10" t="str">
        <f>VLOOKUP($A220,Questions!$A$3:$L$333,2,0)&amp;""</f>
        <v>Are you compliant with the Payment Card Industry Data Security Standard (PCI DSS)?</v>
      </c>
      <c r="D220" s="10" t="str">
        <f>VLOOKUP($A220,Questions!$A$3:$L$333,11,0)&amp;""</f>
        <v/>
      </c>
      <c r="E220" s="10" t="str">
        <f>VLOOKUP($A220,Questions!$A$3:$L$333,12,0)&amp;""</f>
        <v>Case-Specific</v>
      </c>
      <c r="F220" s="10" t="str">
        <f>VLOOKUP($A220,'Institution Evaluation'!$A$56:$K$346,3,0)&amp;""</f>
        <v/>
      </c>
      <c r="G220" s="10" t="str">
        <f>VLOOKUP($A220,'Institution Evaluation'!$A$56:$K$346,7,0)&amp;""</f>
        <v>Yes</v>
      </c>
      <c r="H220" s="10" t="str">
        <f>VLOOKUP($A220,'Institution Evaluation'!$A$56:$K$346,8,0)&amp;""</f>
        <v/>
      </c>
      <c r="I220" s="10" t="str">
        <f>VLOOKUP($A220,'Institution Evaluation'!$A$56:$K$346,9,0)&amp;""</f>
        <v>Standard Importance</v>
      </c>
      <c r="J220" s="10" t="str">
        <f>VLOOKUP($A220,'Institution Evaluation'!$A$56:$K$346,10,0)&amp;""</f>
        <v/>
      </c>
      <c r="K220" s="10">
        <f t="shared" si="47"/>
        <v>10</v>
      </c>
      <c r="L220" s="114">
        <f>IF($E220="Not Scored", "N/A",IF(AND($D220='Auto Responses'!$J$27,$H220=""),"N/A",IF(AND($D220='Auto Responses'!$J$27,$H220='Auto Responses'!$J$7),1,IF(AND($D220='Auto Responses'!$J$27,$H220='Auto Responses'!$J$8),0,IF(OR($F220=$G220,$H220='Auto Responses'!$J$7),1,0)))))</f>
        <v>0</v>
      </c>
      <c r="M220" s="10" t="str">
        <f>VLOOKUP($A220,'Institution Evaluation'!$A$56:$K$346,10,0)&amp;""</f>
        <v/>
      </c>
      <c r="N220" s="10">
        <f t="shared" si="48"/>
        <v>0</v>
      </c>
      <c r="O220" s="114" t="str">
        <f t="shared" si="52"/>
        <v>N/A</v>
      </c>
      <c r="P220" s="114" t="str">
        <f t="shared" si="49"/>
        <v>N/A</v>
      </c>
      <c r="Q220" s="114">
        <f t="shared" si="42"/>
        <v>0</v>
      </c>
      <c r="R220" s="114">
        <f t="shared" si="50"/>
        <v>0</v>
      </c>
      <c r="S220" s="114">
        <f t="shared" si="43"/>
        <v>0</v>
      </c>
      <c r="T220" s="114">
        <f t="shared" si="44"/>
        <v>0</v>
      </c>
      <c r="U220" s="114">
        <f t="shared" si="51"/>
        <v>64</v>
      </c>
      <c r="V220" s="114">
        <f t="shared" si="45"/>
        <v>0</v>
      </c>
    </row>
    <row r="221" spans="1:22" ht="56" x14ac:dyDescent="0.3">
      <c r="A221" s="10" t="str">
        <f>Questions!$A221</f>
        <v>PCID-06</v>
      </c>
      <c r="B221" s="10" t="str">
        <f t="shared" si="46"/>
        <v>PCID</v>
      </c>
      <c r="C221" s="10" t="str">
        <f>VLOOKUP($A221,Questions!$A$3:$L$333,2,0)&amp;""</f>
        <v>Are you classified as a service provider?</v>
      </c>
      <c r="D221" s="10" t="str">
        <f>VLOOKUP($A221,Questions!$A$3:$L$333,11,0)&amp;""</f>
        <v/>
      </c>
      <c r="E221" s="10" t="str">
        <f>VLOOKUP($A221,Questions!$A$3:$L$333,12,0)&amp;""</f>
        <v>Case-Specific</v>
      </c>
      <c r="F221" s="10" t="str">
        <f>VLOOKUP($A221,'Institution Evaluation'!$A$56:$K$346,3,0)&amp;""</f>
        <v/>
      </c>
      <c r="G221" s="10" t="str">
        <f>VLOOKUP($A221,'Institution Evaluation'!$A$56:$K$346,7,0)&amp;""</f>
        <v>Yes</v>
      </c>
      <c r="H221" s="10" t="str">
        <f>VLOOKUP($A221,'Institution Evaluation'!$A$56:$K$346,8,0)&amp;""</f>
        <v/>
      </c>
      <c r="I221" s="10" t="str">
        <f>VLOOKUP($A221,'Institution Evaluation'!$A$56:$K$346,9,0)&amp;""</f>
        <v>Standard Importance</v>
      </c>
      <c r="J221" s="10" t="str">
        <f>VLOOKUP($A221,'Institution Evaluation'!$A$56:$K$346,10,0)&amp;""</f>
        <v/>
      </c>
      <c r="K221" s="10">
        <f t="shared" si="47"/>
        <v>10</v>
      </c>
      <c r="L221" s="114">
        <f>IF($E221="Not Scored", "N/A",IF(AND($D221='Auto Responses'!$J$27,$H221=""),"N/A",IF(AND($D221='Auto Responses'!$J$27,$H221='Auto Responses'!$J$7),1,IF(AND($D221='Auto Responses'!$J$27,$H221='Auto Responses'!$J$8),0,IF(OR($F221=$G221,$H221='Auto Responses'!$J$7),1,0)))))</f>
        <v>0</v>
      </c>
      <c r="M221" s="10" t="str">
        <f>VLOOKUP($A221,'Institution Evaluation'!$A$56:$K$346,10,0)&amp;""</f>
        <v/>
      </c>
      <c r="N221" s="10">
        <f t="shared" si="48"/>
        <v>0</v>
      </c>
      <c r="O221" s="114" t="str">
        <f t="shared" si="52"/>
        <v>N/A</v>
      </c>
      <c r="P221" s="114" t="str">
        <f t="shared" si="49"/>
        <v>N/A</v>
      </c>
      <c r="Q221" s="114">
        <f t="shared" si="42"/>
        <v>0</v>
      </c>
      <c r="R221" s="114">
        <f t="shared" si="50"/>
        <v>0</v>
      </c>
      <c r="S221" s="114">
        <f t="shared" si="43"/>
        <v>0</v>
      </c>
      <c r="T221" s="114">
        <f t="shared" si="44"/>
        <v>0</v>
      </c>
      <c r="U221" s="114">
        <f t="shared" si="51"/>
        <v>64</v>
      </c>
      <c r="V221" s="114">
        <f t="shared" si="45"/>
        <v>0</v>
      </c>
    </row>
    <row r="222" spans="1:22" ht="56" x14ac:dyDescent="0.3">
      <c r="A222" s="10" t="str">
        <f>Questions!$A222</f>
        <v>PCID-07</v>
      </c>
      <c r="B222" s="10" t="str">
        <f t="shared" si="46"/>
        <v>PCID</v>
      </c>
      <c r="C222" s="10" t="str">
        <f>VLOOKUP($A222,Questions!$A$3:$L$333,2,0)&amp;""</f>
        <v>Are you on the list of Visa approved service providers?</v>
      </c>
      <c r="D222" s="10" t="str">
        <f>VLOOKUP($A222,Questions!$A$3:$L$333,11,0)&amp;""</f>
        <v/>
      </c>
      <c r="E222" s="10" t="str">
        <f>VLOOKUP($A222,Questions!$A$3:$L$333,12,0)&amp;""</f>
        <v>Case-Specific</v>
      </c>
      <c r="F222" s="10" t="str">
        <f>VLOOKUP($A222,'Institution Evaluation'!$A$56:$K$346,3,0)&amp;""</f>
        <v/>
      </c>
      <c r="G222" s="10" t="str">
        <f>VLOOKUP($A222,'Institution Evaluation'!$A$56:$K$346,7,0)&amp;""</f>
        <v>Yes</v>
      </c>
      <c r="H222" s="10" t="str">
        <f>VLOOKUP($A222,'Institution Evaluation'!$A$56:$K$346,8,0)&amp;""</f>
        <v/>
      </c>
      <c r="I222" s="10" t="str">
        <f>VLOOKUP($A222,'Institution Evaluation'!$A$56:$K$346,9,0)&amp;""</f>
        <v>Standard Importance</v>
      </c>
      <c r="J222" s="10" t="str">
        <f>VLOOKUP($A222,'Institution Evaluation'!$A$56:$K$346,10,0)&amp;""</f>
        <v/>
      </c>
      <c r="K222" s="10">
        <f t="shared" si="47"/>
        <v>10</v>
      </c>
      <c r="L222" s="114">
        <f>IF($E222="Not Scored", "N/A",IF(AND($D222='Auto Responses'!$J$27,$H222=""),"N/A",IF(AND($D222='Auto Responses'!$J$27,$H222='Auto Responses'!$J$7),1,IF(AND($D222='Auto Responses'!$J$27,$H222='Auto Responses'!$J$8),0,IF(OR($F222=$G222,$H222='Auto Responses'!$J$7),1,0)))))</f>
        <v>0</v>
      </c>
      <c r="M222" s="10" t="str">
        <f>VLOOKUP($A222,'Institution Evaluation'!$A$56:$K$346,10,0)&amp;""</f>
        <v/>
      </c>
      <c r="N222" s="10">
        <f t="shared" si="48"/>
        <v>0</v>
      </c>
      <c r="O222" s="114" t="str">
        <f t="shared" si="52"/>
        <v>N/A</v>
      </c>
      <c r="P222" s="114" t="str">
        <f t="shared" si="49"/>
        <v>N/A</v>
      </c>
      <c r="Q222" s="114">
        <f t="shared" si="42"/>
        <v>0</v>
      </c>
      <c r="R222" s="114">
        <f t="shared" si="50"/>
        <v>0</v>
      </c>
      <c r="S222" s="114">
        <f t="shared" si="43"/>
        <v>0</v>
      </c>
      <c r="T222" s="114">
        <f t="shared" si="44"/>
        <v>0</v>
      </c>
      <c r="U222" s="114">
        <f t="shared" si="51"/>
        <v>64</v>
      </c>
      <c r="V222" s="114">
        <f t="shared" si="45"/>
        <v>0</v>
      </c>
    </row>
    <row r="223" spans="1:22" ht="56" x14ac:dyDescent="0.3">
      <c r="A223" s="10" t="str">
        <f>Questions!$A223</f>
        <v>PCID-08</v>
      </c>
      <c r="B223" s="10" t="str">
        <f t="shared" si="46"/>
        <v>PCID</v>
      </c>
      <c r="C223" s="10" t="str">
        <f>VLOOKUP($A223,Questions!$A$3:$L$333,2,0)&amp;""</f>
        <v>Are you classified as a merchant? If so, what level (1, 2, 3, 4)?</v>
      </c>
      <c r="D223" s="10" t="str">
        <f>VLOOKUP($A223,Questions!$A$3:$L$333,11,0)&amp;""</f>
        <v/>
      </c>
      <c r="E223" s="10" t="str">
        <f>VLOOKUP($A223,Questions!$A$3:$L$333,12,0)&amp;""</f>
        <v>Case-Specific</v>
      </c>
      <c r="F223" s="10" t="str">
        <f>VLOOKUP($A223,'Institution Evaluation'!$A$56:$K$346,3,0)&amp;""</f>
        <v/>
      </c>
      <c r="G223" s="10" t="str">
        <f>VLOOKUP($A223,'Institution Evaluation'!$A$56:$K$346,7,0)&amp;""</f>
        <v>Yes</v>
      </c>
      <c r="H223" s="10" t="str">
        <f>VLOOKUP($A223,'Institution Evaluation'!$A$56:$K$346,8,0)&amp;""</f>
        <v/>
      </c>
      <c r="I223" s="10" t="str">
        <f>VLOOKUP($A223,'Institution Evaluation'!$A$56:$K$346,9,0)&amp;""</f>
        <v>Standard Importance</v>
      </c>
      <c r="J223" s="10" t="str">
        <f>VLOOKUP($A223,'Institution Evaluation'!$A$56:$K$346,10,0)&amp;""</f>
        <v/>
      </c>
      <c r="K223" s="10">
        <f t="shared" si="47"/>
        <v>10</v>
      </c>
      <c r="L223" s="114">
        <f>IF($E223="Not Scored", "N/A",IF(AND($D223='Auto Responses'!$J$27,$H223=""),"N/A",IF(AND($D223='Auto Responses'!$J$27,$H223='Auto Responses'!$J$7),1,IF(AND($D223='Auto Responses'!$J$27,$H223='Auto Responses'!$J$8),0,IF(OR($F223=$G223,$H223='Auto Responses'!$J$7),1,0)))))</f>
        <v>0</v>
      </c>
      <c r="M223" s="10" t="str">
        <f>VLOOKUP($A223,'Institution Evaluation'!$A$56:$K$346,10,0)&amp;""</f>
        <v/>
      </c>
      <c r="N223" s="10">
        <f t="shared" si="48"/>
        <v>0</v>
      </c>
      <c r="O223" s="114" t="str">
        <f t="shared" si="52"/>
        <v>N/A</v>
      </c>
      <c r="P223" s="114" t="str">
        <f t="shared" si="49"/>
        <v>N/A</v>
      </c>
      <c r="Q223" s="114">
        <f t="shared" si="42"/>
        <v>0</v>
      </c>
      <c r="R223" s="114">
        <f t="shared" si="50"/>
        <v>0</v>
      </c>
      <c r="S223" s="114">
        <f t="shared" si="43"/>
        <v>0</v>
      </c>
      <c r="T223" s="114">
        <f t="shared" si="44"/>
        <v>0</v>
      </c>
      <c r="U223" s="114">
        <f t="shared" si="51"/>
        <v>64</v>
      </c>
      <c r="V223" s="114">
        <f t="shared" si="45"/>
        <v>0</v>
      </c>
    </row>
    <row r="224" spans="1:22" ht="56" x14ac:dyDescent="0.3">
      <c r="A224" s="10" t="str">
        <f>Questions!$A224</f>
        <v>PCID-09</v>
      </c>
      <c r="B224" s="10" t="str">
        <f t="shared" si="46"/>
        <v>PCID</v>
      </c>
      <c r="C224" s="10" t="str">
        <f>VLOOKUP($A224,Questions!$A$3:$L$333,2,0)&amp;""</f>
        <v>Describe the architecture employed by the system to verify and authorize credit card transactions.</v>
      </c>
      <c r="D224" s="10" t="str">
        <f>VLOOKUP($A224,Questions!$A$3:$L$333,11,0)&amp;""</f>
        <v/>
      </c>
      <c r="E224" s="10" t="str">
        <f>VLOOKUP($A224,Questions!$A$3:$L$333,12,0)&amp;""</f>
        <v>Not scored</v>
      </c>
      <c r="F224" s="10" t="str">
        <f>VLOOKUP($A224,'Institution Evaluation'!$A$56:$K$346,3,0)&amp;""</f>
        <v/>
      </c>
      <c r="G224" s="10" t="str">
        <f>VLOOKUP($A224,'Institution Evaluation'!$A$56:$K$346,7,0)&amp;""</f>
        <v>Not scored</v>
      </c>
      <c r="H224" s="10" t="str">
        <f>VLOOKUP($A224,'Institution Evaluation'!$A$56:$K$346,8,0)&amp;""</f>
        <v/>
      </c>
      <c r="I224" s="10" t="str">
        <f>VLOOKUP($A224,'Institution Evaluation'!$A$56:$K$346,9,0)&amp;""</f>
        <v>Minor Importance</v>
      </c>
      <c r="J224" s="10" t="str">
        <f>VLOOKUP($A224,'Institution Evaluation'!$A$56:$K$346,10,0)&amp;""</f>
        <v/>
      </c>
      <c r="K224" s="10">
        <f t="shared" si="47"/>
        <v>5</v>
      </c>
      <c r="L224" s="114" t="str">
        <f>IF($E224="Not Scored", "N/A",IF(AND($D224='Auto Responses'!$J$27,$H224=""),"N/A",IF(AND($D224='Auto Responses'!$J$27,$H224='Auto Responses'!$J$7),1,IF(AND($D224='Auto Responses'!$J$27,$H224='Auto Responses'!$J$8),0,IF(OR($F224=$G224,$H224='Auto Responses'!$J$7),1,0)))))</f>
        <v>N/A</v>
      </c>
      <c r="M224" s="10" t="str">
        <f>VLOOKUP($A224,'Institution Evaluation'!$A$56:$K$346,10,0)&amp;""</f>
        <v/>
      </c>
      <c r="N224" s="10">
        <f t="shared" si="48"/>
        <v>0</v>
      </c>
      <c r="O224" s="114" t="str">
        <f t="shared" si="52"/>
        <v>N/A</v>
      </c>
      <c r="P224" s="114" t="str">
        <f t="shared" si="49"/>
        <v>N/A</v>
      </c>
      <c r="Q224" s="114">
        <f t="shared" si="42"/>
        <v>0</v>
      </c>
      <c r="R224" s="114">
        <f t="shared" si="50"/>
        <v>0</v>
      </c>
      <c r="S224" s="114">
        <f t="shared" si="43"/>
        <v>0</v>
      </c>
      <c r="T224" s="114">
        <f t="shared" si="44"/>
        <v>0</v>
      </c>
      <c r="U224" s="114">
        <f t="shared" si="51"/>
        <v>64</v>
      </c>
      <c r="V224" s="114">
        <f t="shared" si="45"/>
        <v>0</v>
      </c>
    </row>
    <row r="225" spans="1:22" ht="56" x14ac:dyDescent="0.3">
      <c r="A225" s="10" t="str">
        <f>Questions!$A225</f>
        <v>PCID-10</v>
      </c>
      <c r="B225" s="10" t="str">
        <f t="shared" si="46"/>
        <v>PCID</v>
      </c>
      <c r="C225" s="10" t="str">
        <f>VLOOKUP($A225,Questions!$A$3:$L$333,2,0)&amp;""</f>
        <v>What payment processors/gateways does the system support?</v>
      </c>
      <c r="D225" s="10" t="str">
        <f>VLOOKUP($A225,Questions!$A$3:$L$333,11,0)&amp;""</f>
        <v/>
      </c>
      <c r="E225" s="10" t="str">
        <f>VLOOKUP($A225,Questions!$A$3:$L$333,12,0)&amp;""</f>
        <v>Case-Specific</v>
      </c>
      <c r="F225" s="10" t="str">
        <f>VLOOKUP($A225,'Institution Evaluation'!$A$56:$K$346,3,0)&amp;""</f>
        <v/>
      </c>
      <c r="G225" s="10" t="str">
        <f>VLOOKUP($A225,'Institution Evaluation'!$A$56:$K$346,7,0)&amp;""</f>
        <v>Yes</v>
      </c>
      <c r="H225" s="10" t="str">
        <f>VLOOKUP($A225,'Institution Evaluation'!$A$56:$K$346,8,0)&amp;""</f>
        <v/>
      </c>
      <c r="I225" s="10" t="str">
        <f>VLOOKUP($A225,'Institution Evaluation'!$A$56:$K$346,9,0)&amp;""</f>
        <v>Minor Importance</v>
      </c>
      <c r="J225" s="10" t="str">
        <f>VLOOKUP($A225,'Institution Evaluation'!$A$56:$K$346,10,0)&amp;""</f>
        <v/>
      </c>
      <c r="K225" s="10">
        <f t="shared" si="47"/>
        <v>5</v>
      </c>
      <c r="L225" s="114">
        <f>IF($E225="Not Scored", "N/A",IF(AND($D225='Auto Responses'!$J$27,$H225=""),"N/A",IF(AND($D225='Auto Responses'!$J$27,$H225='Auto Responses'!$J$7),1,IF(AND($D225='Auto Responses'!$J$27,$H225='Auto Responses'!$J$8),0,IF(OR($F225=$G225,$H225='Auto Responses'!$J$7),1,0)))))</f>
        <v>0</v>
      </c>
      <c r="M225" s="10" t="str">
        <f>VLOOKUP($A225,'Institution Evaluation'!$A$56:$K$346,10,0)&amp;""</f>
        <v/>
      </c>
      <c r="N225" s="10">
        <f t="shared" si="48"/>
        <v>0</v>
      </c>
      <c r="O225" s="114" t="str">
        <f t="shared" si="52"/>
        <v>N/A</v>
      </c>
      <c r="P225" s="114" t="str">
        <f t="shared" si="49"/>
        <v>N/A</v>
      </c>
      <c r="Q225" s="114">
        <f t="shared" si="42"/>
        <v>0</v>
      </c>
      <c r="R225" s="114">
        <f t="shared" si="50"/>
        <v>0</v>
      </c>
      <c r="S225" s="114">
        <f t="shared" si="43"/>
        <v>0</v>
      </c>
      <c r="T225" s="114">
        <f t="shared" si="44"/>
        <v>0</v>
      </c>
      <c r="U225" s="114">
        <f t="shared" si="51"/>
        <v>64</v>
      </c>
      <c r="V225" s="114">
        <f t="shared" si="45"/>
        <v>0</v>
      </c>
    </row>
    <row r="226" spans="1:22" ht="56" x14ac:dyDescent="0.3">
      <c r="A226" s="10" t="str">
        <f>Questions!$A226</f>
        <v>PCID-11</v>
      </c>
      <c r="B226" s="10" t="str">
        <f t="shared" si="46"/>
        <v>PCID</v>
      </c>
      <c r="C226" s="10" t="str">
        <f>VLOOKUP($A226,Questions!$A$3:$L$333,2,0)&amp;""</f>
        <v>Can the application be installed in a PCI DSS–compliant manner?</v>
      </c>
      <c r="D226" s="10" t="str">
        <f>VLOOKUP($A226,Questions!$A$3:$L$333,11,0)&amp;""</f>
        <v/>
      </c>
      <c r="E226" s="10" t="str">
        <f>VLOOKUP($A226,Questions!$A$3:$L$333,12,0)&amp;""</f>
        <v>Case-Specific</v>
      </c>
      <c r="F226" s="10" t="str">
        <f>VLOOKUP($A226,'Institution Evaluation'!$A$56:$K$346,3,0)&amp;""</f>
        <v/>
      </c>
      <c r="G226" s="10" t="str">
        <f>VLOOKUP($A226,'Institution Evaluation'!$A$56:$K$346,7,0)&amp;""</f>
        <v>Yes</v>
      </c>
      <c r="H226" s="10" t="str">
        <f>VLOOKUP($A226,'Institution Evaluation'!$A$56:$K$346,8,0)&amp;""</f>
        <v/>
      </c>
      <c r="I226" s="10" t="str">
        <f>VLOOKUP($A226,'Institution Evaluation'!$A$56:$K$346,9,0)&amp;""</f>
        <v>Minor Importance</v>
      </c>
      <c r="J226" s="10" t="str">
        <f>VLOOKUP($A226,'Institution Evaluation'!$A$56:$K$346,10,0)&amp;""</f>
        <v/>
      </c>
      <c r="K226" s="10">
        <f t="shared" si="47"/>
        <v>5</v>
      </c>
      <c r="L226" s="114">
        <f>IF($E226="Not Scored", "N/A",IF(AND($D226='Auto Responses'!$J$27,$H226=""),"N/A",IF(AND($D226='Auto Responses'!$J$27,$H226='Auto Responses'!$J$7),1,IF(AND($D226='Auto Responses'!$J$27,$H226='Auto Responses'!$J$8),0,IF(OR($F226=$G226,$H226='Auto Responses'!$J$7),1,0)))))</f>
        <v>0</v>
      </c>
      <c r="M226" s="10" t="str">
        <f>VLOOKUP($A226,'Institution Evaluation'!$A$56:$K$346,10,0)&amp;""</f>
        <v/>
      </c>
      <c r="N226" s="10">
        <f t="shared" si="48"/>
        <v>0</v>
      </c>
      <c r="O226" s="114" t="str">
        <f t="shared" si="52"/>
        <v>N/A</v>
      </c>
      <c r="P226" s="114" t="str">
        <f t="shared" si="49"/>
        <v>N/A</v>
      </c>
      <c r="Q226" s="114">
        <f t="shared" si="42"/>
        <v>0</v>
      </c>
      <c r="R226" s="114">
        <f t="shared" si="50"/>
        <v>0</v>
      </c>
      <c r="S226" s="114">
        <f t="shared" si="43"/>
        <v>0</v>
      </c>
      <c r="T226" s="114">
        <f t="shared" si="44"/>
        <v>0</v>
      </c>
      <c r="U226" s="114">
        <f t="shared" si="51"/>
        <v>64</v>
      </c>
      <c r="V226" s="114">
        <f t="shared" si="45"/>
        <v>0</v>
      </c>
    </row>
    <row r="227" spans="1:22" ht="70" x14ac:dyDescent="0.3">
      <c r="A227" s="10" t="str">
        <f>Questions!$A227</f>
        <v>PCID-12</v>
      </c>
      <c r="B227" s="10" t="str">
        <f t="shared" si="46"/>
        <v>PCID</v>
      </c>
      <c r="C227" s="10" t="str">
        <f>VLOOKUP($A227,Questions!$A$3:$L$333,2,0)&amp;""</f>
        <v>Include documentation describing the system's abilities to comply with the PCI DSS and any features or capabilities of the system that must be added or changed in order to operate in compliance with the standards.</v>
      </c>
      <c r="D227" s="10" t="str">
        <f>VLOOKUP($A227,Questions!$A$3:$L$333,11,0)&amp;""</f>
        <v/>
      </c>
      <c r="E227" s="10" t="str">
        <f>VLOOKUP($A227,Questions!$A$3:$L$333,12,0)&amp;""</f>
        <v>Not scored</v>
      </c>
      <c r="F227" s="10" t="str">
        <f>VLOOKUP($A227,'Institution Evaluation'!$A$56:$K$346,3,0)&amp;""</f>
        <v/>
      </c>
      <c r="G227" s="10" t="str">
        <f>VLOOKUP($A227,'Institution Evaluation'!$A$56:$K$346,7,0)&amp;""</f>
        <v>Not scored</v>
      </c>
      <c r="H227" s="10" t="str">
        <f>VLOOKUP($A227,'Institution Evaluation'!$A$56:$K$346,8,0)&amp;""</f>
        <v/>
      </c>
      <c r="I227" s="10" t="str">
        <f>VLOOKUP($A227,'Institution Evaluation'!$A$56:$K$346,9,0)&amp;""</f>
        <v>Minor Importance</v>
      </c>
      <c r="J227" s="10" t="str">
        <f>VLOOKUP($A227,'Institution Evaluation'!$A$56:$K$346,10,0)&amp;""</f>
        <v/>
      </c>
      <c r="K227" s="10">
        <f t="shared" si="47"/>
        <v>5</v>
      </c>
      <c r="L227" s="114" t="str">
        <f>IF($E227="Not Scored", "N/A",IF(AND($D227='Auto Responses'!$J$27,$H227=""),"N/A",IF(AND($D227='Auto Responses'!$J$27,$H227='Auto Responses'!$J$7),1,IF(AND($D227='Auto Responses'!$J$27,$H227='Auto Responses'!$J$8),0,IF(OR($F227=$G227,$H227='Auto Responses'!$J$7),1,0)))))</f>
        <v>N/A</v>
      </c>
      <c r="M227" s="10" t="str">
        <f>VLOOKUP($A227,'Institution Evaluation'!$A$56:$K$346,10,0)&amp;""</f>
        <v/>
      </c>
      <c r="N227" s="10">
        <f t="shared" si="48"/>
        <v>0</v>
      </c>
      <c r="O227" s="114" t="str">
        <f t="shared" si="52"/>
        <v>N/A</v>
      </c>
      <c r="P227" s="114" t="str">
        <f t="shared" si="49"/>
        <v>N/A</v>
      </c>
      <c r="Q227" s="114">
        <f t="shared" si="42"/>
        <v>0</v>
      </c>
      <c r="R227" s="114">
        <f t="shared" si="50"/>
        <v>0</v>
      </c>
      <c r="S227" s="114">
        <f t="shared" si="43"/>
        <v>0</v>
      </c>
      <c r="T227" s="114">
        <f t="shared" si="44"/>
        <v>0</v>
      </c>
      <c r="U227" s="114">
        <f t="shared" si="51"/>
        <v>64</v>
      </c>
      <c r="V227" s="114">
        <f t="shared" si="45"/>
        <v>0</v>
      </c>
    </row>
    <row r="228" spans="1:22" ht="56" x14ac:dyDescent="0.3">
      <c r="A228" s="10" t="str">
        <f>Questions!$A228</f>
        <v>OPEM-01</v>
      </c>
      <c r="B228" s="10" t="str">
        <f t="shared" si="46"/>
        <v>OPEM</v>
      </c>
      <c r="C228" s="10" t="str">
        <f>VLOOKUP($A228,Questions!$A$3:$L$333,2,0)&amp;""</f>
        <v>Do you support role-based access control (RBAC) for system administrators?</v>
      </c>
      <c r="D228" s="10" t="str">
        <f>VLOOKUP($A228,Questions!$A$3:$L$333,11,0)&amp;""</f>
        <v/>
      </c>
      <c r="E228" s="10" t="str">
        <f>VLOOKUP($A228,Questions!$A$3:$L$333,12,0)&amp;""</f>
        <v>Case-Specific</v>
      </c>
      <c r="F228" s="10" t="str">
        <f>VLOOKUP($A228,'Institution Evaluation'!$A$56:$K$346,3,0)&amp;""</f>
        <v/>
      </c>
      <c r="G228" s="10" t="str">
        <f>VLOOKUP($A228,'Institution Evaluation'!$A$56:$K$346,7,0)&amp;""</f>
        <v>Yes</v>
      </c>
      <c r="H228" s="10" t="str">
        <f>VLOOKUP($A228,'Institution Evaluation'!$A$56:$K$346,8,0)&amp;""</f>
        <v/>
      </c>
      <c r="I228" s="10" t="str">
        <f>VLOOKUP($A228,'Institution Evaluation'!$A$56:$K$346,9,0)&amp;""</f>
        <v>Standard Importance</v>
      </c>
      <c r="J228" s="10" t="str">
        <f>VLOOKUP($A228,'Institution Evaluation'!$A$56:$K$346,10,0)&amp;""</f>
        <v/>
      </c>
      <c r="K228" s="10">
        <f t="shared" si="47"/>
        <v>10</v>
      </c>
      <c r="L228" s="114">
        <f>IF($E228="Not Scored", "N/A",IF(AND($D228='Auto Responses'!$J$27,$H228=""),"N/A",IF(AND($D228='Auto Responses'!$J$27,$H228='Auto Responses'!$J$7),1,IF(AND($D228='Auto Responses'!$J$27,$H228='Auto Responses'!$J$8),0,IF(OR($F228=$G228,$H228='Auto Responses'!$J$7),1,0)))))</f>
        <v>0</v>
      </c>
      <c r="M228" s="10" t="str">
        <f>VLOOKUP($A228,'Institution Evaluation'!$A$56:$K$346,10,0)&amp;""</f>
        <v/>
      </c>
      <c r="N228" s="10">
        <f t="shared" si="48"/>
        <v>0</v>
      </c>
      <c r="O228" s="114" t="str">
        <f>IF(OR($F$23="No",$E228="Not Scored"),"N/A",IF($J228="",$K228,IF($J228="Minor Importance",5,IF($J228="Standard Importance",10,IF($J228="Critical Importance",20,0)))))</f>
        <v>N/A</v>
      </c>
      <c r="P228" s="114" t="str">
        <f t="shared" si="49"/>
        <v>N/A</v>
      </c>
      <c r="Q228" s="114">
        <f t="shared" si="42"/>
        <v>0</v>
      </c>
      <c r="R228" s="114">
        <f t="shared" si="50"/>
        <v>0</v>
      </c>
      <c r="S228" s="114">
        <f t="shared" si="43"/>
        <v>0</v>
      </c>
      <c r="T228" s="114">
        <f t="shared" si="44"/>
        <v>0</v>
      </c>
      <c r="U228" s="114">
        <f t="shared" si="51"/>
        <v>64</v>
      </c>
      <c r="V228" s="114">
        <f t="shared" si="45"/>
        <v>0</v>
      </c>
    </row>
    <row r="229" spans="1:22" ht="56" x14ac:dyDescent="0.3">
      <c r="A229" s="10" t="str">
        <f>Questions!$A229</f>
        <v>OPEM-02</v>
      </c>
      <c r="B229" s="10" t="str">
        <f t="shared" si="46"/>
        <v>OPEM</v>
      </c>
      <c r="C229" s="10" t="str">
        <f>VLOOKUP($A229,Questions!$A$3:$L$333,2,0)&amp;""</f>
        <v>Can your employees access customer systems remotely?</v>
      </c>
      <c r="D229" s="10" t="str">
        <f>VLOOKUP($A229,Questions!$A$3:$L$333,11,0)&amp;""</f>
        <v/>
      </c>
      <c r="E229" s="10" t="str">
        <f>VLOOKUP($A229,Questions!$A$3:$L$333,12,0)&amp;""</f>
        <v>Case-Specific</v>
      </c>
      <c r="F229" s="10" t="str">
        <f>VLOOKUP($A229,'Institution Evaluation'!$A$56:$K$346,3,0)&amp;""</f>
        <v/>
      </c>
      <c r="G229" s="10" t="str">
        <f>VLOOKUP($A229,'Institution Evaluation'!$A$56:$K$346,7,0)&amp;""</f>
        <v>No</v>
      </c>
      <c r="H229" s="10" t="str">
        <f>VLOOKUP($A229,'Institution Evaluation'!$A$56:$K$346,8,0)&amp;""</f>
        <v/>
      </c>
      <c r="I229" s="10" t="str">
        <f>VLOOKUP($A229,'Institution Evaluation'!$A$56:$K$346,9,0)&amp;""</f>
        <v>Standard Importance</v>
      </c>
      <c r="J229" s="10" t="str">
        <f>VLOOKUP($A229,'Institution Evaluation'!$A$56:$K$346,10,0)&amp;""</f>
        <v/>
      </c>
      <c r="K229" s="10">
        <f t="shared" si="47"/>
        <v>10</v>
      </c>
      <c r="L229" s="114">
        <f>IF($E229="Not Scored", "N/A",IF(AND($D229='Auto Responses'!$J$27,$H229=""),"N/A",IF(AND($D229='Auto Responses'!$J$27,$H229='Auto Responses'!$J$7),1,IF(AND($D229='Auto Responses'!$J$27,$H229='Auto Responses'!$J$8),0,IF(OR($F229=$G229,$H229='Auto Responses'!$J$7),1,0)))))</f>
        <v>0</v>
      </c>
      <c r="M229" s="10" t="str">
        <f>VLOOKUP($A229,'Institution Evaluation'!$A$56:$K$346,10,0)&amp;""</f>
        <v/>
      </c>
      <c r="N229" s="10">
        <f t="shared" si="48"/>
        <v>0</v>
      </c>
      <c r="O229" s="114" t="str">
        <f t="shared" ref="O229:O237" si="53">IF(OR($F$23="No",$E229="Not Scored"),"N/A",IF($J229="",$K229,IF($J229="Minor Importance",5,IF($J229="Standard Importance",10,IF($J229="Critical Importance",20,0)))))</f>
        <v>N/A</v>
      </c>
      <c r="P229" s="114" t="str">
        <f t="shared" si="49"/>
        <v>N/A</v>
      </c>
      <c r="Q229" s="114">
        <f t="shared" si="42"/>
        <v>0</v>
      </c>
      <c r="R229" s="114">
        <f t="shared" si="50"/>
        <v>0</v>
      </c>
      <c r="S229" s="114">
        <f t="shared" si="43"/>
        <v>0</v>
      </c>
      <c r="T229" s="114">
        <f t="shared" si="44"/>
        <v>0</v>
      </c>
      <c r="U229" s="114">
        <f t="shared" si="51"/>
        <v>64</v>
      </c>
      <c r="V229" s="114">
        <f t="shared" si="45"/>
        <v>0</v>
      </c>
    </row>
    <row r="230" spans="1:22" ht="56" x14ac:dyDescent="0.3">
      <c r="A230" s="10" t="str">
        <f>Questions!$A230</f>
        <v>OPEM-03</v>
      </c>
      <c r="B230" s="10" t="str">
        <f t="shared" si="46"/>
        <v>OPEM</v>
      </c>
      <c r="C230" s="10" t="str">
        <f>VLOOKUP($A230,Questions!$A$3:$L$333,2,0)&amp;""</f>
        <v>Can you provide overall system and/or application architecture diagrams including a full description of the data communications architecture for all components of the system?</v>
      </c>
      <c r="D230" s="10" t="str">
        <f>VLOOKUP($A230,Questions!$A$3:$L$333,11,0)&amp;""</f>
        <v/>
      </c>
      <c r="E230" s="10" t="str">
        <f>VLOOKUP($A230,Questions!$A$3:$L$333,12,0)&amp;""</f>
        <v>Case-Specific</v>
      </c>
      <c r="F230" s="10" t="str">
        <f>VLOOKUP($A230,'Institution Evaluation'!$A$56:$K$346,3,0)&amp;""</f>
        <v/>
      </c>
      <c r="G230" s="10" t="str">
        <f>VLOOKUP($A230,'Institution Evaluation'!$A$56:$K$346,7,0)&amp;""</f>
        <v>Yes</v>
      </c>
      <c r="H230" s="10" t="str">
        <f>VLOOKUP($A230,'Institution Evaluation'!$A$56:$K$346,8,0)&amp;""</f>
        <v/>
      </c>
      <c r="I230" s="10" t="str">
        <f>VLOOKUP($A230,'Institution Evaluation'!$A$56:$K$346,9,0)&amp;""</f>
        <v>Standard Importance</v>
      </c>
      <c r="J230" s="10" t="str">
        <f>VLOOKUP($A230,'Institution Evaluation'!$A$56:$K$346,10,0)&amp;""</f>
        <v/>
      </c>
      <c r="K230" s="10">
        <f t="shared" si="47"/>
        <v>10</v>
      </c>
      <c r="L230" s="114">
        <f>IF($E230="Not Scored", "N/A",IF(AND($D230='Auto Responses'!$J$27,$H230=""),"N/A",IF(AND($D230='Auto Responses'!$J$27,$H230='Auto Responses'!$J$7),1,IF(AND($D230='Auto Responses'!$J$27,$H230='Auto Responses'!$J$8),0,IF(OR($F230=$G230,$H230='Auto Responses'!$J$7),1,0)))))</f>
        <v>0</v>
      </c>
      <c r="M230" s="10" t="str">
        <f>VLOOKUP($A230,'Institution Evaluation'!$A$56:$K$346,10,0)&amp;""</f>
        <v/>
      </c>
      <c r="N230" s="10">
        <f t="shared" si="48"/>
        <v>0</v>
      </c>
      <c r="O230" s="114" t="str">
        <f t="shared" si="53"/>
        <v>N/A</v>
      </c>
      <c r="P230" s="114" t="str">
        <f t="shared" si="49"/>
        <v>N/A</v>
      </c>
      <c r="Q230" s="114">
        <f t="shared" si="42"/>
        <v>0</v>
      </c>
      <c r="R230" s="114">
        <f t="shared" si="50"/>
        <v>0</v>
      </c>
      <c r="S230" s="114">
        <f t="shared" si="43"/>
        <v>0</v>
      </c>
      <c r="T230" s="114">
        <f t="shared" si="44"/>
        <v>0</v>
      </c>
      <c r="U230" s="114">
        <f t="shared" si="51"/>
        <v>64</v>
      </c>
      <c r="V230" s="114">
        <f t="shared" si="45"/>
        <v>0</v>
      </c>
    </row>
    <row r="231" spans="1:22" ht="56" x14ac:dyDescent="0.3">
      <c r="A231" s="10" t="str">
        <f>Questions!$A231</f>
        <v>OPEM-04</v>
      </c>
      <c r="B231" s="10" t="str">
        <f t="shared" si="46"/>
        <v>OPEM</v>
      </c>
      <c r="C231" s="10" t="str">
        <f>VLOOKUP($A231,Questions!$A$3:$L$333,2,0)&amp;""</f>
        <v>Do you require remote management of the system?</v>
      </c>
      <c r="D231" s="10" t="str">
        <f>VLOOKUP($A231,Questions!$A$3:$L$333,11,0)&amp;""</f>
        <v/>
      </c>
      <c r="E231" s="10" t="str">
        <f>VLOOKUP($A231,Questions!$A$3:$L$333,12,0)&amp;""</f>
        <v>Case-Specific</v>
      </c>
      <c r="F231" s="10" t="str">
        <f>VLOOKUP($A231,'Institution Evaluation'!$A$56:$K$346,3,0)&amp;""</f>
        <v/>
      </c>
      <c r="G231" s="10" t="str">
        <f>VLOOKUP($A231,'Institution Evaluation'!$A$56:$K$346,7,0)&amp;""</f>
        <v>No</v>
      </c>
      <c r="H231" s="10" t="str">
        <f>VLOOKUP($A231,'Institution Evaluation'!$A$56:$K$346,8,0)&amp;""</f>
        <v/>
      </c>
      <c r="I231" s="10" t="str">
        <f>VLOOKUP($A231,'Institution Evaluation'!$A$56:$K$346,9,0)&amp;""</f>
        <v>Standard Importance</v>
      </c>
      <c r="J231" s="10" t="str">
        <f>VLOOKUP($A231,'Institution Evaluation'!$A$56:$K$346,10,0)&amp;""</f>
        <v/>
      </c>
      <c r="K231" s="10">
        <f t="shared" si="47"/>
        <v>10</v>
      </c>
      <c r="L231" s="114">
        <f>IF($E231="Not Scored", "N/A",IF(AND($D231='Auto Responses'!$J$27,$H231=""),"N/A",IF(AND($D231='Auto Responses'!$J$27,$H231='Auto Responses'!$J$7),1,IF(AND($D231='Auto Responses'!$J$27,$H231='Auto Responses'!$J$8),0,IF(OR($F231=$G231,$H231='Auto Responses'!$J$7),1,0)))))</f>
        <v>0</v>
      </c>
      <c r="M231" s="10" t="str">
        <f>VLOOKUP($A231,'Institution Evaluation'!$A$56:$K$346,10,0)&amp;""</f>
        <v/>
      </c>
      <c r="N231" s="10">
        <f t="shared" si="48"/>
        <v>0</v>
      </c>
      <c r="O231" s="114" t="str">
        <f t="shared" si="53"/>
        <v>N/A</v>
      </c>
      <c r="P231" s="114" t="str">
        <f t="shared" si="49"/>
        <v>N/A</v>
      </c>
      <c r="Q231" s="114">
        <f t="shared" si="42"/>
        <v>0</v>
      </c>
      <c r="R231" s="114">
        <f t="shared" si="50"/>
        <v>0</v>
      </c>
      <c r="S231" s="114">
        <f t="shared" si="43"/>
        <v>0</v>
      </c>
      <c r="T231" s="114">
        <f t="shared" si="44"/>
        <v>0</v>
      </c>
      <c r="U231" s="114">
        <f t="shared" si="51"/>
        <v>64</v>
      </c>
      <c r="V231" s="114">
        <f t="shared" si="45"/>
        <v>0</v>
      </c>
    </row>
    <row r="232" spans="1:22" ht="56" x14ac:dyDescent="0.3">
      <c r="A232" s="10" t="str">
        <f>Questions!$A232</f>
        <v>OPEM-05</v>
      </c>
      <c r="B232" s="10" t="str">
        <f t="shared" si="46"/>
        <v>OPEM</v>
      </c>
      <c r="C232" s="10" t="str">
        <f>VLOOKUP($A232,Questions!$A$3:$L$333,2,0)&amp;""</f>
        <v>If you answered "yes" to OPEM-04, are your remote actions and changes logged or otherwise visible to the campus?</v>
      </c>
      <c r="D232" s="10" t="str">
        <f>VLOOKUP($A232,Questions!$A$3:$L$333,11,0)&amp;""</f>
        <v/>
      </c>
      <c r="E232" s="10" t="str">
        <f>VLOOKUP($A232,Questions!$A$3:$L$333,12,0)&amp;""</f>
        <v>Case-Specific</v>
      </c>
      <c r="F232" s="10" t="str">
        <f>VLOOKUP($A232,'Institution Evaluation'!$A$56:$K$346,3,0)&amp;""</f>
        <v/>
      </c>
      <c r="G232" s="10" t="str">
        <f>VLOOKUP($A232,'Institution Evaluation'!$A$56:$K$346,7,0)&amp;""</f>
        <v>Yes</v>
      </c>
      <c r="H232" s="10" t="str">
        <f>VLOOKUP($A232,'Institution Evaluation'!$A$56:$K$346,8,0)&amp;""</f>
        <v/>
      </c>
      <c r="I232" s="10" t="str">
        <f>VLOOKUP($A232,'Institution Evaluation'!$A$56:$K$346,9,0)&amp;""</f>
        <v>Standard Importance</v>
      </c>
      <c r="J232" s="10" t="str">
        <f>VLOOKUP($A232,'Institution Evaluation'!$A$56:$K$346,10,0)&amp;""</f>
        <v/>
      </c>
      <c r="K232" s="10">
        <f t="shared" si="47"/>
        <v>10</v>
      </c>
      <c r="L232" s="114">
        <f>IF($E232="Not Scored", "N/A",IF(AND($D232='Auto Responses'!$J$27,$H232=""),"N/A",IF(AND($D232='Auto Responses'!$J$27,$H232='Auto Responses'!$J$7),1,IF(AND($D232='Auto Responses'!$J$27,$H232='Auto Responses'!$J$8),0,IF(OR($F232=$G232,$H232='Auto Responses'!$J$7),1,0)))))</f>
        <v>0</v>
      </c>
      <c r="M232" s="10" t="str">
        <f>VLOOKUP($A232,'Institution Evaluation'!$A$56:$K$346,10,0)&amp;""</f>
        <v/>
      </c>
      <c r="N232" s="10">
        <f t="shared" si="48"/>
        <v>0</v>
      </c>
      <c r="O232" s="114" t="str">
        <f>IF(OR($F$23="No",$E232="Not Scored",$F232="N/A"),"N/A",IF($J232="",$K232,IF($J232="Minor Importance",5,IF($J232="Standard Importance",10,IF($J232="Critical Importance",20,0)))))</f>
        <v>N/A</v>
      </c>
      <c r="P232" s="114" t="str">
        <f t="shared" si="49"/>
        <v>N/A</v>
      </c>
      <c r="Q232" s="114">
        <f t="shared" si="42"/>
        <v>0</v>
      </c>
      <c r="R232" s="114">
        <f t="shared" si="50"/>
        <v>0</v>
      </c>
      <c r="S232" s="114">
        <f t="shared" si="43"/>
        <v>0</v>
      </c>
      <c r="T232" s="114">
        <f t="shared" si="44"/>
        <v>0</v>
      </c>
      <c r="U232" s="114">
        <f t="shared" si="51"/>
        <v>64</v>
      </c>
      <c r="V232" s="114">
        <f t="shared" si="45"/>
        <v>0</v>
      </c>
    </row>
    <row r="233" spans="1:22" ht="56" x14ac:dyDescent="0.3">
      <c r="A233" s="10" t="str">
        <f>Questions!$A233</f>
        <v>OPEM-06</v>
      </c>
      <c r="B233" s="10" t="str">
        <f t="shared" si="46"/>
        <v>OPEM</v>
      </c>
      <c r="C233" s="10" t="str">
        <f>VLOOKUP($A233,Questions!$A$3:$L$333,2,0)&amp;""</f>
        <v>If you maintain remote access to the system, will you handle data in a FERPA-compliant manner?</v>
      </c>
      <c r="D233" s="10" t="str">
        <f>VLOOKUP($A233,Questions!$A$3:$L$333,11,0)&amp;""</f>
        <v/>
      </c>
      <c r="E233" s="10" t="str">
        <f>VLOOKUP($A233,Questions!$A$3:$L$333,12,0)&amp;""</f>
        <v>Case-Specific</v>
      </c>
      <c r="F233" s="10" t="str">
        <f>VLOOKUP($A233,'Institution Evaluation'!$A$56:$K$346,3,0)&amp;""</f>
        <v/>
      </c>
      <c r="G233" s="10" t="str">
        <f>VLOOKUP($A233,'Institution Evaluation'!$A$56:$K$346,7,0)&amp;""</f>
        <v>Yes</v>
      </c>
      <c r="H233" s="10" t="str">
        <f>VLOOKUP($A233,'Institution Evaluation'!$A$56:$K$346,8,0)&amp;""</f>
        <v/>
      </c>
      <c r="I233" s="10" t="str">
        <f>VLOOKUP($A233,'Institution Evaluation'!$A$56:$K$346,9,0)&amp;""</f>
        <v>Standard Importance</v>
      </c>
      <c r="J233" s="10" t="str">
        <f>VLOOKUP($A233,'Institution Evaluation'!$A$56:$K$346,10,0)&amp;""</f>
        <v/>
      </c>
      <c r="K233" s="10">
        <f t="shared" si="47"/>
        <v>10</v>
      </c>
      <c r="L233" s="114">
        <f>IF($E233="Not Scored", "N/A",IF(AND($D233='Auto Responses'!$J$27,$H233=""),"N/A",IF(AND($D233='Auto Responses'!$J$27,$H233='Auto Responses'!$J$7),1,IF(AND($D233='Auto Responses'!$J$27,$H233='Auto Responses'!$J$8),0,IF(OR($F233=$G233,$H233='Auto Responses'!$J$7),1,0)))))</f>
        <v>0</v>
      </c>
      <c r="M233" s="10" t="str">
        <f>VLOOKUP($A233,'Institution Evaluation'!$A$56:$K$346,10,0)&amp;""</f>
        <v/>
      </c>
      <c r="N233" s="10">
        <f t="shared" si="48"/>
        <v>0</v>
      </c>
      <c r="O233" s="114" t="str">
        <f t="shared" si="53"/>
        <v>N/A</v>
      </c>
      <c r="P233" s="114" t="str">
        <f t="shared" si="49"/>
        <v>N/A</v>
      </c>
      <c r="Q233" s="114">
        <f t="shared" si="42"/>
        <v>0</v>
      </c>
      <c r="R233" s="114">
        <f t="shared" si="50"/>
        <v>0</v>
      </c>
      <c r="S233" s="114">
        <f t="shared" si="43"/>
        <v>0</v>
      </c>
      <c r="T233" s="114">
        <f t="shared" si="44"/>
        <v>0</v>
      </c>
      <c r="U233" s="114">
        <f t="shared" si="51"/>
        <v>64</v>
      </c>
      <c r="V233" s="114">
        <f t="shared" si="45"/>
        <v>0</v>
      </c>
    </row>
    <row r="234" spans="1:22" ht="56" x14ac:dyDescent="0.3">
      <c r="A234" s="10" t="str">
        <f>Questions!$A234</f>
        <v>OPEM-07</v>
      </c>
      <c r="B234" s="10" t="str">
        <f t="shared" si="46"/>
        <v>OPEM</v>
      </c>
      <c r="C234" s="10" t="str">
        <f>VLOOKUP($A234,Questions!$A$3:$L$333,2,0)&amp;""</f>
        <v>Do you support campus status monitoring through SNMPv3 or other means?</v>
      </c>
      <c r="D234" s="10" t="str">
        <f>VLOOKUP($A234,Questions!$A$3:$L$333,11,0)&amp;""</f>
        <v/>
      </c>
      <c r="E234" s="10" t="str">
        <f>VLOOKUP($A234,Questions!$A$3:$L$333,12,0)&amp;""</f>
        <v>Case-Specific</v>
      </c>
      <c r="F234" s="10" t="str">
        <f>VLOOKUP($A234,'Institution Evaluation'!$A$56:$K$346,3,0)&amp;""</f>
        <v/>
      </c>
      <c r="G234" s="10" t="str">
        <f>VLOOKUP($A234,'Institution Evaluation'!$A$56:$K$346,7,0)&amp;""</f>
        <v>Yes</v>
      </c>
      <c r="H234" s="10" t="str">
        <f>VLOOKUP($A234,'Institution Evaluation'!$A$56:$K$346,8,0)&amp;""</f>
        <v/>
      </c>
      <c r="I234" s="10" t="str">
        <f>VLOOKUP($A234,'Institution Evaluation'!$A$56:$K$346,9,0)&amp;""</f>
        <v>Standard Importance</v>
      </c>
      <c r="J234" s="10" t="str">
        <f>VLOOKUP($A234,'Institution Evaluation'!$A$56:$K$346,10,0)&amp;""</f>
        <v/>
      </c>
      <c r="K234" s="10">
        <f t="shared" si="47"/>
        <v>10</v>
      </c>
      <c r="L234" s="114">
        <f>IF($E234="Not Scored", "N/A",IF(AND($D234='Auto Responses'!$J$27,$H234=""),"N/A",IF(AND($D234='Auto Responses'!$J$27,$H234='Auto Responses'!$J$7),1,IF(AND($D234='Auto Responses'!$J$27,$H234='Auto Responses'!$J$8),0,IF(OR($F234=$G234,$H234='Auto Responses'!$J$7),1,0)))))</f>
        <v>0</v>
      </c>
      <c r="M234" s="10" t="str">
        <f>VLOOKUP($A234,'Institution Evaluation'!$A$56:$K$346,10,0)&amp;""</f>
        <v/>
      </c>
      <c r="N234" s="10">
        <f t="shared" si="48"/>
        <v>0</v>
      </c>
      <c r="O234" s="114" t="str">
        <f t="shared" si="53"/>
        <v>N/A</v>
      </c>
      <c r="P234" s="114" t="str">
        <f t="shared" si="49"/>
        <v>N/A</v>
      </c>
      <c r="Q234" s="114">
        <f t="shared" si="42"/>
        <v>0</v>
      </c>
      <c r="R234" s="114">
        <f t="shared" si="50"/>
        <v>0</v>
      </c>
      <c r="S234" s="114">
        <f t="shared" si="43"/>
        <v>0</v>
      </c>
      <c r="T234" s="114">
        <f t="shared" si="44"/>
        <v>0</v>
      </c>
      <c r="U234" s="114">
        <f t="shared" si="51"/>
        <v>64</v>
      </c>
      <c r="V234" s="114">
        <f t="shared" si="45"/>
        <v>0</v>
      </c>
    </row>
    <row r="235" spans="1:22" ht="56" x14ac:dyDescent="0.3">
      <c r="A235" s="10" t="str">
        <f>Questions!$A235</f>
        <v>OPEM-08</v>
      </c>
      <c r="B235" s="10" t="str">
        <f t="shared" si="46"/>
        <v>OPEM</v>
      </c>
      <c r="C235" s="10" t="str">
        <f>VLOOKUP($A235,Questions!$A$3:$L$333,2,0)&amp;""</f>
        <v>Describe or provide a reference to any other safeguards used to monitor for malicious activity.</v>
      </c>
      <c r="D235" s="10" t="str">
        <f>VLOOKUP($A235,Questions!$A$3:$L$333,11,0)&amp;""</f>
        <v/>
      </c>
      <c r="E235" s="10" t="str">
        <f>VLOOKUP($A235,Questions!$A$3:$L$333,12,0)&amp;""</f>
        <v>Not scored</v>
      </c>
      <c r="F235" s="10" t="str">
        <f>VLOOKUP($A235,'Institution Evaluation'!$A$56:$K$346,3,0)&amp;""</f>
        <v/>
      </c>
      <c r="G235" s="10" t="str">
        <f>VLOOKUP($A235,'Institution Evaluation'!$A$56:$K$346,7,0)&amp;""</f>
        <v>Not scored</v>
      </c>
      <c r="H235" s="10" t="str">
        <f>VLOOKUP($A235,'Institution Evaluation'!$A$56:$K$346,8,0)&amp;""</f>
        <v/>
      </c>
      <c r="I235" s="10" t="str">
        <f>VLOOKUP($A235,'Institution Evaluation'!$A$56:$K$346,9,0)&amp;""</f>
        <v>Standard Importance</v>
      </c>
      <c r="J235" s="10" t="str">
        <f>VLOOKUP($A235,'Institution Evaluation'!$A$56:$K$346,10,0)&amp;""</f>
        <v/>
      </c>
      <c r="K235" s="10">
        <f t="shared" si="47"/>
        <v>10</v>
      </c>
      <c r="L235" s="114" t="str">
        <f>IF($E235="Not Scored", "N/A",IF(AND($D235='Auto Responses'!$J$27,$H235=""),"N/A",IF(AND($D235='Auto Responses'!$J$27,$H235='Auto Responses'!$J$7),1,IF(AND($D235='Auto Responses'!$J$27,$H235='Auto Responses'!$J$8),0,IF(OR($F235=$G235,$H235='Auto Responses'!$J$7),1,0)))))</f>
        <v>N/A</v>
      </c>
      <c r="M235" s="10" t="str">
        <f>VLOOKUP($A235,'Institution Evaluation'!$A$56:$K$346,10,0)&amp;""</f>
        <v/>
      </c>
      <c r="N235" s="10">
        <f t="shared" si="48"/>
        <v>0</v>
      </c>
      <c r="O235" s="114" t="str">
        <f t="shared" si="53"/>
        <v>N/A</v>
      </c>
      <c r="P235" s="114" t="str">
        <f t="shared" si="49"/>
        <v>N/A</v>
      </c>
      <c r="Q235" s="114">
        <f t="shared" si="42"/>
        <v>0</v>
      </c>
      <c r="R235" s="114">
        <f t="shared" si="50"/>
        <v>0</v>
      </c>
      <c r="S235" s="114">
        <f t="shared" si="43"/>
        <v>0</v>
      </c>
      <c r="T235" s="114">
        <f t="shared" si="44"/>
        <v>0</v>
      </c>
      <c r="U235" s="114">
        <f t="shared" si="51"/>
        <v>64</v>
      </c>
      <c r="V235" s="114">
        <f t="shared" si="45"/>
        <v>0</v>
      </c>
    </row>
    <row r="236" spans="1:22" ht="56" x14ac:dyDescent="0.3">
      <c r="A236" s="10" t="str">
        <f>Questions!$A236</f>
        <v>OPEM-09</v>
      </c>
      <c r="B236" s="10" t="str">
        <f t="shared" si="46"/>
        <v>OPEM</v>
      </c>
      <c r="C236" s="10" t="str">
        <f>VLOOKUP($A236,Questions!$A$3:$L$333,2,0)&amp;""</f>
        <v>Describe how long your organization has conducted business in this area.</v>
      </c>
      <c r="D236" s="10" t="str">
        <f>VLOOKUP($A236,Questions!$A$3:$L$333,11,0)&amp;""</f>
        <v/>
      </c>
      <c r="E236" s="10" t="str">
        <f>VLOOKUP($A236,Questions!$A$3:$L$333,12,0)&amp;""</f>
        <v>Not scored</v>
      </c>
      <c r="F236" s="10" t="str">
        <f>VLOOKUP($A236,'Institution Evaluation'!$A$56:$K$346,3,0)&amp;""</f>
        <v/>
      </c>
      <c r="G236" s="10" t="str">
        <f>VLOOKUP($A236,'Institution Evaluation'!$A$56:$K$346,7,0)&amp;""</f>
        <v>Not scored</v>
      </c>
      <c r="H236" s="10" t="str">
        <f>VLOOKUP($A236,'Institution Evaluation'!$A$56:$K$346,8,0)&amp;""</f>
        <v/>
      </c>
      <c r="I236" s="10" t="str">
        <f>VLOOKUP($A236,'Institution Evaluation'!$A$56:$K$346,9,0)&amp;""</f>
        <v>Minor Importance</v>
      </c>
      <c r="J236" s="10" t="str">
        <f>VLOOKUP($A236,'Institution Evaluation'!$A$56:$K$346,10,0)&amp;""</f>
        <v/>
      </c>
      <c r="K236" s="10">
        <f t="shared" si="47"/>
        <v>5</v>
      </c>
      <c r="L236" s="114" t="str">
        <f>IF($E236="Not Scored", "N/A",IF(AND($D236='Auto Responses'!$J$27,$H236=""),"N/A",IF(AND($D236='Auto Responses'!$J$27,$H236='Auto Responses'!$J$7),1,IF(AND($D236='Auto Responses'!$J$27,$H236='Auto Responses'!$J$8),0,IF(OR($F236=$G236,$H236='Auto Responses'!$J$7),1,0)))))</f>
        <v>N/A</v>
      </c>
      <c r="M236" s="10" t="str">
        <f>VLOOKUP($A236,'Institution Evaluation'!$A$56:$K$346,10,0)&amp;""</f>
        <v/>
      </c>
      <c r="N236" s="10">
        <f t="shared" si="48"/>
        <v>0</v>
      </c>
      <c r="O236" s="114" t="str">
        <f t="shared" si="53"/>
        <v>N/A</v>
      </c>
      <c r="P236" s="114" t="str">
        <f t="shared" si="49"/>
        <v>N/A</v>
      </c>
      <c r="Q236" s="114">
        <f t="shared" si="42"/>
        <v>0</v>
      </c>
      <c r="R236" s="114">
        <f t="shared" si="50"/>
        <v>0</v>
      </c>
      <c r="S236" s="114">
        <f t="shared" si="43"/>
        <v>0</v>
      </c>
      <c r="T236" s="114">
        <f t="shared" si="44"/>
        <v>0</v>
      </c>
      <c r="U236" s="114">
        <f t="shared" si="51"/>
        <v>64</v>
      </c>
      <c r="V236" s="114">
        <f t="shared" si="45"/>
        <v>0</v>
      </c>
    </row>
    <row r="237" spans="1:22" ht="56" x14ac:dyDescent="0.3">
      <c r="A237" s="10" t="str">
        <f>Questions!$A237</f>
        <v>OPEM-10</v>
      </c>
      <c r="B237" s="10" t="str">
        <f t="shared" si="46"/>
        <v>OPEM</v>
      </c>
      <c r="C237" s="10" t="str">
        <f>VLOOKUP($A237,Questions!$A$3:$L$333,2,0)&amp;""</f>
        <v>Do you have existing higher education customers?</v>
      </c>
      <c r="D237" s="10" t="str">
        <f>VLOOKUP($A237,Questions!$A$3:$L$333,11,0)&amp;""</f>
        <v/>
      </c>
      <c r="E237" s="10" t="str">
        <f>VLOOKUP($A237,Questions!$A$3:$L$333,12,0)&amp;""</f>
        <v>Case-Specific</v>
      </c>
      <c r="F237" s="10" t="str">
        <f>VLOOKUP($A237,'Institution Evaluation'!$A$56:$K$346,3,0)&amp;""</f>
        <v/>
      </c>
      <c r="G237" s="10" t="str">
        <f>VLOOKUP($A237,'Institution Evaluation'!$A$56:$K$346,7,0)&amp;""</f>
        <v>Yes</v>
      </c>
      <c r="H237" s="10" t="str">
        <f>VLOOKUP($A237,'Institution Evaluation'!$A$56:$K$346,8,0)&amp;""</f>
        <v/>
      </c>
      <c r="I237" s="10" t="str">
        <f>VLOOKUP($A237,'Institution Evaluation'!$A$56:$K$346,9,0)&amp;""</f>
        <v>Minor Importance</v>
      </c>
      <c r="J237" s="10" t="str">
        <f>VLOOKUP($A237,'Institution Evaluation'!$A$56:$K$346,10,0)&amp;""</f>
        <v/>
      </c>
      <c r="K237" s="10">
        <f t="shared" si="47"/>
        <v>5</v>
      </c>
      <c r="L237" s="114">
        <f>IF($E237="Not Scored", "N/A",IF(AND($D237='Auto Responses'!$J$27,$H237=""),"N/A",IF(AND($D237='Auto Responses'!$J$27,$H237='Auto Responses'!$J$7),1,IF(AND($D237='Auto Responses'!$J$27,$H237='Auto Responses'!$J$8),0,IF(OR($F237=$G237,$H237='Auto Responses'!$J$7),1,0)))))</f>
        <v>0</v>
      </c>
      <c r="M237" s="10" t="str">
        <f>VLOOKUP($A237,'Institution Evaluation'!$A$56:$K$346,10,0)&amp;""</f>
        <v/>
      </c>
      <c r="N237" s="10">
        <f t="shared" si="48"/>
        <v>0</v>
      </c>
      <c r="O237" s="114" t="str">
        <f t="shared" si="53"/>
        <v>N/A</v>
      </c>
      <c r="P237" s="114" t="str">
        <f t="shared" si="49"/>
        <v>N/A</v>
      </c>
      <c r="Q237" s="114">
        <f t="shared" ref="Q237" si="54">IF(M237="TRUE",1,0)</f>
        <v>0</v>
      </c>
      <c r="R237" s="114">
        <f t="shared" si="50"/>
        <v>0</v>
      </c>
      <c r="S237" s="114">
        <f t="shared" ref="S237" si="55">IF(Q237=0,0,R237)</f>
        <v>0</v>
      </c>
      <c r="T237" s="114">
        <f t="shared" ref="T237" si="56">IF(N237=1,1,0)</f>
        <v>0</v>
      </c>
      <c r="U237" s="114">
        <f t="shared" si="51"/>
        <v>64</v>
      </c>
      <c r="V237" s="114">
        <f t="shared" ref="V237" si="57">IF(T237=0,0,U237)</f>
        <v>0</v>
      </c>
    </row>
    <row r="238" spans="1:22" ht="56" x14ac:dyDescent="0.3">
      <c r="A238" s="10" t="str">
        <f>Questions!$A238</f>
        <v>PRGN-01</v>
      </c>
      <c r="B238" s="10" t="str">
        <f t="shared" si="46"/>
        <v>PRGN</v>
      </c>
      <c r="C238" s="10" t="str">
        <f>VLOOKUP($A238,Questions!$A$3:$L$333,2,0)&amp;""</f>
        <v>Does your solution process FERPA-related data?</v>
      </c>
      <c r="D238" s="10" t="str">
        <f>VLOOKUP($A238,Questions!$A$3:$L$333,11,0)&amp;""</f>
        <v>NA</v>
      </c>
      <c r="E238" s="10" t="str">
        <f>VLOOKUP($A238,Questions!$A$3:$L$333,12,0)&amp;""</f>
        <v>Not scored</v>
      </c>
      <c r="F238" s="10" t="str">
        <f>VLOOKUP($A238,'Privacy Analyst Evaluation'!$A$46:$K$120,3,0)&amp;""</f>
        <v>Yes</v>
      </c>
      <c r="G238" s="10" t="str">
        <f>VLOOKUP($A238,'Privacy Analyst Evaluation'!$A$46:$K$120,7,0)&amp;""</f>
        <v>Not scored</v>
      </c>
      <c r="H238" s="10" t="str">
        <f>VLOOKUP($A238,'Privacy Analyst Evaluation'!$A$46:$K$120,8,0)&amp;""</f>
        <v/>
      </c>
      <c r="I238" s="10" t="str">
        <f>VLOOKUP($A238,'Privacy Analyst Evaluation'!$A$46:$K$120,9,0)&amp;""</f>
        <v/>
      </c>
      <c r="J238" s="10" t="str">
        <f>VLOOKUP($A238,'Privacy Analyst Evaluation'!$A$46:$K$120,10,0)&amp;""</f>
        <v/>
      </c>
      <c r="K238" s="10">
        <f t="shared" si="47"/>
        <v>10</v>
      </c>
      <c r="L238" s="114" t="str">
        <f>IF($E238="Not Scored", "N/A",IF(AND($D238='Auto Responses'!$J$27,$H238=""),"N/A",IF(AND($D238='Auto Responses'!$J$27,$H238='Auto Responses'!$J$7),1,IF(AND($D238='Auto Responses'!$J$27,$H238='Auto Responses'!$J$8),0,IF(OR($F238=$G238,$H238='Auto Responses'!$J$7),1,0)))))</f>
        <v>N/A</v>
      </c>
      <c r="M238" s="10" t="str">
        <f>VLOOKUP($A238,'Privacy Analyst Evaluation'!$A$46:$K$120,10,0)&amp;""</f>
        <v/>
      </c>
      <c r="N238" s="10">
        <f t="shared" si="48"/>
        <v>0</v>
      </c>
      <c r="O238" s="114" t="str">
        <f>IF(OR($E238="Not Scored",$F$24="No"),"N/A",IF($J238="",$K238,IF($J238="Minor Importance",5,IF($J238="Standard Importance",10,IF($J238="Critical Importance",20,0)))))</f>
        <v>N/A</v>
      </c>
      <c r="P238" s="114" t="str">
        <f t="shared" si="49"/>
        <v>N/A</v>
      </c>
      <c r="Q238" s="114">
        <f t="shared" si="42"/>
        <v>0</v>
      </c>
      <c r="R238" s="114">
        <f t="shared" si="50"/>
        <v>0</v>
      </c>
      <c r="S238" s="114">
        <f t="shared" si="43"/>
        <v>0</v>
      </c>
      <c r="T238" s="114">
        <f t="shared" si="44"/>
        <v>0</v>
      </c>
      <c r="U238" s="114">
        <f t="shared" si="51"/>
        <v>64</v>
      </c>
      <c r="V238" s="114">
        <f t="shared" si="45"/>
        <v>0</v>
      </c>
    </row>
    <row r="239" spans="1:22" ht="56" x14ac:dyDescent="0.3">
      <c r="A239" s="10" t="str">
        <f>Questions!$A239</f>
        <v>PRGN-02</v>
      </c>
      <c r="B239" s="10" t="str">
        <f t="shared" si="46"/>
        <v>PRGN</v>
      </c>
      <c r="C239" s="10" t="str">
        <f>VLOOKUP($A239,Questions!$A$3:$L$333,2,0)&amp;""</f>
        <v>Does your solution process GDPR-related or PIPL-related data?</v>
      </c>
      <c r="D239" s="10" t="str">
        <f>VLOOKUP($A239,Questions!$A$3:$L$333,11,0)&amp;""</f>
        <v>NA</v>
      </c>
      <c r="E239" s="10" t="str">
        <f>VLOOKUP($A239,Questions!$A$3:$L$333,12,0)&amp;""</f>
        <v>Not scored</v>
      </c>
      <c r="F239" s="10" t="str">
        <f>VLOOKUP($A239,'Privacy Analyst Evaluation'!$A$46:$K$120,3,0)&amp;""</f>
        <v>Yes</v>
      </c>
      <c r="G239" s="10" t="str">
        <f>VLOOKUP($A239,'Privacy Analyst Evaluation'!$A$46:$K$120,7,0)&amp;""</f>
        <v>Not scored</v>
      </c>
      <c r="H239" s="10" t="str">
        <f>VLOOKUP($A239,'Privacy Analyst Evaluation'!$A$46:$K$120,8,0)&amp;""</f>
        <v/>
      </c>
      <c r="I239" s="10" t="str">
        <f>VLOOKUP($A239,'Privacy Analyst Evaluation'!$A$46:$K$120,9,0)&amp;""</f>
        <v/>
      </c>
      <c r="J239" s="10" t="str">
        <f>VLOOKUP($A239,'Privacy Analyst Evaluation'!$A$46:$K$120,10,0)&amp;""</f>
        <v/>
      </c>
      <c r="K239" s="10">
        <f t="shared" si="47"/>
        <v>10</v>
      </c>
      <c r="L239" s="114" t="str">
        <f>IF($E239="Not Scored", "N/A",IF(AND($D239='Auto Responses'!$J$27,$H239=""),"N/A",IF(AND($D239='Auto Responses'!$J$27,$H239='Auto Responses'!$J$7),1,IF(AND($D239='Auto Responses'!$J$27,$H239='Auto Responses'!$J$8),0,IF(OR($F239=$G239,$H239='Auto Responses'!$J$7),1,0)))))</f>
        <v>N/A</v>
      </c>
      <c r="M239" s="10" t="str">
        <f>VLOOKUP($A239,'Privacy Analyst Evaluation'!$A$46:$K$120,10,0)&amp;""</f>
        <v/>
      </c>
      <c r="N239" s="10">
        <f t="shared" si="48"/>
        <v>0</v>
      </c>
      <c r="O239" s="114" t="str">
        <f t="shared" ref="O239:O301" si="58">IF(OR($E239="Not Scored",$F$24="No"),"N/A",IF($J239="",$K239,IF($J239="Minor Importance",5,IF($J239="Standard Importance",10,IF($J239="Critical Importance",20,0)))))</f>
        <v>N/A</v>
      </c>
      <c r="P239" s="114" t="str">
        <f t="shared" si="49"/>
        <v>N/A</v>
      </c>
      <c r="Q239" s="114">
        <f t="shared" si="42"/>
        <v>0</v>
      </c>
      <c r="R239" s="114">
        <f t="shared" si="50"/>
        <v>0</v>
      </c>
      <c r="S239" s="114">
        <f t="shared" si="43"/>
        <v>0</v>
      </c>
      <c r="T239" s="114">
        <f t="shared" si="44"/>
        <v>0</v>
      </c>
      <c r="U239" s="114">
        <f t="shared" si="51"/>
        <v>64</v>
      </c>
      <c r="V239" s="114">
        <f t="shared" si="45"/>
        <v>0</v>
      </c>
    </row>
    <row r="240" spans="1:22" ht="56" x14ac:dyDescent="0.3">
      <c r="A240" s="10" t="str">
        <f>Questions!$A240</f>
        <v>PRGN-03</v>
      </c>
      <c r="B240" s="10" t="str">
        <f t="shared" si="46"/>
        <v>PRGN</v>
      </c>
      <c r="C240" s="10" t="str">
        <f>VLOOKUP($A240,Questions!$A$3:$L$333,2,0)&amp;""</f>
        <v>Does your solution process personal data regulated by state law(s) (e.g., CCPA)?</v>
      </c>
      <c r="D240" s="10" t="str">
        <f>VLOOKUP($A240,Questions!$A$3:$L$333,11,0)&amp;""</f>
        <v>NA</v>
      </c>
      <c r="E240" s="10" t="str">
        <f>VLOOKUP($A240,Questions!$A$3:$L$333,12,0)&amp;""</f>
        <v>Not scored</v>
      </c>
      <c r="F240" s="10" t="str">
        <f>VLOOKUP($A240,'Privacy Analyst Evaluation'!$A$46:$K$120,3,0)&amp;""</f>
        <v>Yes</v>
      </c>
      <c r="G240" s="10" t="str">
        <f>VLOOKUP($A240,'Privacy Analyst Evaluation'!$A$46:$K$120,7,0)&amp;""</f>
        <v>Not scored</v>
      </c>
      <c r="H240" s="10" t="str">
        <f>VLOOKUP($A240,'Privacy Analyst Evaluation'!$A$46:$K$120,8,0)&amp;""</f>
        <v/>
      </c>
      <c r="I240" s="10" t="str">
        <f>VLOOKUP($A240,'Privacy Analyst Evaluation'!$A$46:$K$120,9,0)&amp;""</f>
        <v/>
      </c>
      <c r="J240" s="10" t="str">
        <f>VLOOKUP($A240,'Privacy Analyst Evaluation'!$A$46:$K$120,10,0)&amp;""</f>
        <v/>
      </c>
      <c r="K240" s="10">
        <f t="shared" si="47"/>
        <v>10</v>
      </c>
      <c r="L240" s="114" t="str">
        <f>IF($E240="Not Scored", "N/A",IF(AND($D240='Auto Responses'!$J$27,$H240=""),"N/A",IF(AND($D240='Auto Responses'!$J$27,$H240='Auto Responses'!$J$7),1,IF(AND($D240='Auto Responses'!$J$27,$H240='Auto Responses'!$J$8),0,IF(OR($F240=$G240,$H240='Auto Responses'!$J$7),1,0)))))</f>
        <v>N/A</v>
      </c>
      <c r="M240" s="10" t="str">
        <f>VLOOKUP($A240,'Privacy Analyst Evaluation'!$A$46:$K$120,10,0)&amp;""</f>
        <v/>
      </c>
      <c r="N240" s="10">
        <f t="shared" si="48"/>
        <v>0</v>
      </c>
      <c r="O240" s="114" t="str">
        <f t="shared" si="58"/>
        <v>N/A</v>
      </c>
      <c r="P240" s="114" t="str">
        <f t="shared" si="49"/>
        <v>N/A</v>
      </c>
      <c r="Q240" s="114">
        <f t="shared" si="42"/>
        <v>0</v>
      </c>
      <c r="R240" s="114">
        <f t="shared" si="50"/>
        <v>0</v>
      </c>
      <c r="S240" s="114">
        <f t="shared" si="43"/>
        <v>0</v>
      </c>
      <c r="T240" s="114">
        <f t="shared" si="44"/>
        <v>0</v>
      </c>
      <c r="U240" s="114">
        <f t="shared" si="51"/>
        <v>64</v>
      </c>
      <c r="V240" s="114">
        <f t="shared" si="45"/>
        <v>0</v>
      </c>
    </row>
    <row r="241" spans="1:22" ht="56" x14ac:dyDescent="0.3">
      <c r="A241" s="10" t="str">
        <f>Questions!$A241</f>
        <v>PRGN-04</v>
      </c>
      <c r="B241" s="10" t="str">
        <f t="shared" si="46"/>
        <v>PRGN</v>
      </c>
      <c r="C241" s="10" t="str">
        <f>VLOOKUP($A241,Questions!$A$3:$L$333,2,0)&amp;""</f>
        <v>Does your solution process user-provided data that may contain regulated information?</v>
      </c>
      <c r="D241" s="10" t="str">
        <f>VLOOKUP($A241,Questions!$A$3:$L$333,11,0)&amp;""</f>
        <v>NA</v>
      </c>
      <c r="E241" s="10" t="str">
        <f>VLOOKUP($A241,Questions!$A$3:$L$333,12,0)&amp;""</f>
        <v>Not scored</v>
      </c>
      <c r="F241" s="10" t="str">
        <f>VLOOKUP($A241,'Privacy Analyst Evaluation'!$A$46:$K$120,3,0)&amp;""</f>
        <v>No</v>
      </c>
      <c r="G241" s="10" t="str">
        <f>VLOOKUP($A241,'Privacy Analyst Evaluation'!$A$46:$K$120,7,0)&amp;""</f>
        <v>Not scored</v>
      </c>
      <c r="H241" s="10" t="str">
        <f>VLOOKUP($A241,'Privacy Analyst Evaluation'!$A$46:$K$120,8,0)&amp;""</f>
        <v/>
      </c>
      <c r="I241" s="10" t="str">
        <f>VLOOKUP($A241,'Privacy Analyst Evaluation'!$A$46:$K$120,9,0)&amp;""</f>
        <v/>
      </c>
      <c r="J241" s="10" t="str">
        <f>VLOOKUP($A241,'Privacy Analyst Evaluation'!$A$46:$K$120,10,0)&amp;""</f>
        <v/>
      </c>
      <c r="K241" s="10">
        <f t="shared" si="47"/>
        <v>10</v>
      </c>
      <c r="L241" s="114" t="str">
        <f>IF($E241="Not Scored", "N/A",IF(AND($D241='Auto Responses'!$J$27,$H241=""),"N/A",IF(AND($D241='Auto Responses'!$J$27,$H241='Auto Responses'!$J$7),1,IF(AND($D241='Auto Responses'!$J$27,$H241='Auto Responses'!$J$8),0,IF(OR($F241=$G241,$H241='Auto Responses'!$J$7),1,0)))))</f>
        <v>N/A</v>
      </c>
      <c r="M241" s="10" t="str">
        <f>VLOOKUP($A241,'Privacy Analyst Evaluation'!$A$46:$K$120,10,0)&amp;""</f>
        <v/>
      </c>
      <c r="N241" s="10">
        <f t="shared" si="48"/>
        <v>0</v>
      </c>
      <c r="O241" s="114" t="str">
        <f t="shared" si="58"/>
        <v>N/A</v>
      </c>
      <c r="P241" s="114" t="str">
        <f t="shared" si="49"/>
        <v>N/A</v>
      </c>
      <c r="Q241" s="114">
        <f t="shared" si="42"/>
        <v>0</v>
      </c>
      <c r="R241" s="114">
        <f t="shared" si="50"/>
        <v>0</v>
      </c>
      <c r="S241" s="114">
        <f t="shared" si="43"/>
        <v>0</v>
      </c>
      <c r="T241" s="114">
        <f t="shared" si="44"/>
        <v>0</v>
      </c>
      <c r="U241" s="114">
        <f t="shared" si="51"/>
        <v>64</v>
      </c>
      <c r="V241" s="114">
        <f t="shared" si="45"/>
        <v>0</v>
      </c>
    </row>
    <row r="242" spans="1:22" ht="56" x14ac:dyDescent="0.3">
      <c r="A242" s="10" t="str">
        <f>Questions!$A242</f>
        <v>PRGN-05</v>
      </c>
      <c r="B242" s="10" t="str">
        <f t="shared" si="46"/>
        <v>PRGN</v>
      </c>
      <c r="C242" s="10" t="str">
        <f>VLOOKUP($A242,Questions!$A$3:$L$333,2,0)&amp;""</f>
        <v>Web Link to Product/Service Privacy Notice</v>
      </c>
      <c r="D242" s="10" t="str">
        <f>VLOOKUP($A242,Questions!$A$3:$L$333,11,0)&amp;""</f>
        <v/>
      </c>
      <c r="E242" s="10" t="str">
        <f>VLOOKUP($A242,Questions!$A$3:$L$333,12,0)&amp;""</f>
        <v>Not scored</v>
      </c>
      <c r="F242" s="10" t="str">
        <f>VLOOKUP($A242,'Privacy Analyst Evaluation'!$A$46:$K$120,3,0)&amp;""</f>
        <v/>
      </c>
      <c r="G242" s="10" t="str">
        <f>VLOOKUP($A242,'Privacy Analyst Evaluation'!$A$46:$K$120,7,0)&amp;""</f>
        <v>Not scored</v>
      </c>
      <c r="H242" s="10" t="str">
        <f>VLOOKUP($A242,'Privacy Analyst Evaluation'!$A$46:$K$120,8,0)&amp;""</f>
        <v/>
      </c>
      <c r="I242" s="10" t="str">
        <f>VLOOKUP($A242,'Privacy Analyst Evaluation'!$A$46:$K$120,9,0)&amp;""</f>
        <v>Standard Importance</v>
      </c>
      <c r="J242" s="10" t="str">
        <f>VLOOKUP($A242,'Privacy Analyst Evaluation'!$A$46:$K$120,10,0)&amp;""</f>
        <v/>
      </c>
      <c r="K242" s="10">
        <f t="shared" si="47"/>
        <v>10</v>
      </c>
      <c r="L242" s="114" t="str">
        <f>IF($E242="Not Scored", "N/A",IF(AND($D242='Auto Responses'!$J$27,$H242=""),"N/A",IF(AND($D242='Auto Responses'!$J$27,$H242='Auto Responses'!$J$7),1,IF(AND($D242='Auto Responses'!$J$27,$H242='Auto Responses'!$J$8),0,IF(OR($F242=$G242,$H242='Auto Responses'!$J$7),1,0)))))</f>
        <v>N/A</v>
      </c>
      <c r="M242" s="10" t="str">
        <f>VLOOKUP($A242,'Privacy Analyst Evaluation'!$A$46:$K$120,10,0)&amp;""</f>
        <v/>
      </c>
      <c r="N242" s="10">
        <f t="shared" si="48"/>
        <v>0</v>
      </c>
      <c r="O242" s="114" t="str">
        <f t="shared" si="58"/>
        <v>N/A</v>
      </c>
      <c r="P242" s="114" t="str">
        <f t="shared" si="49"/>
        <v>N/A</v>
      </c>
      <c r="Q242" s="114">
        <f t="shared" si="42"/>
        <v>0</v>
      </c>
      <c r="R242" s="114">
        <f t="shared" si="50"/>
        <v>0</v>
      </c>
      <c r="S242" s="114">
        <f t="shared" si="43"/>
        <v>0</v>
      </c>
      <c r="T242" s="114">
        <f t="shared" si="44"/>
        <v>0</v>
      </c>
      <c r="U242" s="114">
        <f t="shared" si="51"/>
        <v>64</v>
      </c>
      <c r="V242" s="114">
        <f t="shared" si="45"/>
        <v>0</v>
      </c>
    </row>
    <row r="243" spans="1:22" ht="70" x14ac:dyDescent="0.3">
      <c r="A243" s="10" t="str">
        <f>Questions!$A243</f>
        <v>PCOM-01</v>
      </c>
      <c r="B243" s="10" t="str">
        <f t="shared" si="46"/>
        <v>PCOM</v>
      </c>
      <c r="C243" s="10" t="str">
        <f>VLOOKUP($A243,Questions!$A$3:$L$333,2,0)&amp;""</f>
        <v>Have you had a personal data breach in the past three years that involved reporting to a governmental agency, notice to individuals (including voluntary notice), or notice to another organization or institution?*</v>
      </c>
      <c r="D243" s="10" t="str">
        <f>VLOOKUP($A243,Questions!$A$3:$L$333,11,0)&amp;""</f>
        <v/>
      </c>
      <c r="E243" s="10" t="str">
        <f>VLOOKUP($A243,Questions!$A$3:$L$333,12,0)&amp;""</f>
        <v>Privacy</v>
      </c>
      <c r="F243" s="10" t="str">
        <f>VLOOKUP($A243,'Privacy Analyst Evaluation'!$A$46:$K$120,3,0)&amp;""</f>
        <v>No</v>
      </c>
      <c r="G243" s="10" t="str">
        <f>VLOOKUP($A243,'Privacy Analyst Evaluation'!$A$46:$K$120,7,0)&amp;""</f>
        <v>No</v>
      </c>
      <c r="H243" s="10" t="str">
        <f>VLOOKUP($A243,'Privacy Analyst Evaluation'!$A$46:$K$120,8,0)&amp;""</f>
        <v/>
      </c>
      <c r="I243" s="10" t="str">
        <f>VLOOKUP($A243,'Privacy Analyst Evaluation'!$A$46:$K$120,9,0)&amp;""</f>
        <v>Critical Importance</v>
      </c>
      <c r="J243" s="10" t="str">
        <f>VLOOKUP($A243,'Privacy Analyst Evaluation'!$A$46:$K$120,10,0)&amp;""</f>
        <v/>
      </c>
      <c r="K243" s="10">
        <f t="shared" si="47"/>
        <v>20</v>
      </c>
      <c r="L243" s="114">
        <f>IF($E243="Not Scored", "N/A",IF(AND($D243='Auto Responses'!$J$27,$H243=""),"N/A",IF(AND($D243='Auto Responses'!$J$27,$H243='Auto Responses'!$J$7),1,IF(AND($D243='Auto Responses'!$J$27,$H243='Auto Responses'!$J$8),0,IF(OR($F243=$G243,$H243='Auto Responses'!$J$7),1,0)))))</f>
        <v>1</v>
      </c>
      <c r="M243" s="10" t="str">
        <f>VLOOKUP($A243,'Privacy Analyst Evaluation'!$A$46:$K$120,10,0)&amp;""</f>
        <v/>
      </c>
      <c r="N243" s="10">
        <f t="shared" si="48"/>
        <v>1</v>
      </c>
      <c r="O243" s="114">
        <f t="shared" si="58"/>
        <v>20</v>
      </c>
      <c r="P243" s="114">
        <f t="shared" si="49"/>
        <v>20</v>
      </c>
      <c r="Q243" s="114">
        <f t="shared" si="42"/>
        <v>0</v>
      </c>
      <c r="R243" s="114">
        <f t="shared" si="50"/>
        <v>0</v>
      </c>
      <c r="S243" s="114">
        <f t="shared" si="43"/>
        <v>0</v>
      </c>
      <c r="T243" s="114">
        <f t="shared" si="44"/>
        <v>1</v>
      </c>
      <c r="U243" s="114">
        <f t="shared" si="51"/>
        <v>65</v>
      </c>
      <c r="V243" s="114">
        <f t="shared" si="45"/>
        <v>65</v>
      </c>
    </row>
    <row r="244" spans="1:22" ht="56" x14ac:dyDescent="0.3">
      <c r="A244" s="10" t="str">
        <f>Questions!$A244</f>
        <v>PCOM-02</v>
      </c>
      <c r="B244" s="10" t="str">
        <f t="shared" si="46"/>
        <v>PCOM</v>
      </c>
      <c r="C244" s="10" t="str">
        <f>VLOOKUP($A244,Questions!$A$3:$L$333,2,0)&amp;""</f>
        <v>Use this area to share information about your privacy practices that will assist those who are assessing your company data privacy program.*</v>
      </c>
      <c r="D244" s="10" t="str">
        <f>VLOOKUP($A244,Questions!$A$3:$L$333,11,0)&amp;""</f>
        <v/>
      </c>
      <c r="E244" s="10" t="str">
        <f>VLOOKUP($A244,Questions!$A$3:$L$333,12,0)&amp;""</f>
        <v>Not scored</v>
      </c>
      <c r="F244" s="10" t="str">
        <f>VLOOKUP($A244,'Privacy Analyst Evaluation'!$A$46:$K$120,3,0)&amp;""</f>
        <v/>
      </c>
      <c r="G244" s="10" t="str">
        <f>VLOOKUP($A244,'Privacy Analyst Evaluation'!$A$46:$K$120,7,0)&amp;""</f>
        <v>Not scored</v>
      </c>
      <c r="H244" s="10" t="str">
        <f>VLOOKUP($A244,'Privacy Analyst Evaluation'!$A$46:$K$120,8,0)&amp;""</f>
        <v/>
      </c>
      <c r="I244" s="10" t="str">
        <f>VLOOKUP($A244,'Privacy Analyst Evaluation'!$A$46:$K$120,9,0)&amp;""</f>
        <v>Critical Importance</v>
      </c>
      <c r="J244" s="10" t="str">
        <f>VLOOKUP($A244,'Privacy Analyst Evaluation'!$A$46:$K$120,10,0)&amp;""</f>
        <v/>
      </c>
      <c r="K244" s="10">
        <f t="shared" si="47"/>
        <v>20</v>
      </c>
      <c r="L244" s="114" t="str">
        <f>IF($E244="Not Scored", "N/A",IF(AND($D244='Auto Responses'!$J$27,$H244=""),"N/A",IF(AND($D244='Auto Responses'!$J$27,$H244='Auto Responses'!$J$7),1,IF(AND($D244='Auto Responses'!$J$27,$H244='Auto Responses'!$J$8),0,IF(OR($F244=$G244,$H244='Auto Responses'!$J$7),1,0)))))</f>
        <v>N/A</v>
      </c>
      <c r="M244" s="10" t="str">
        <f>VLOOKUP($A244,'Privacy Analyst Evaluation'!$A$46:$K$120,10,0)&amp;""</f>
        <v/>
      </c>
      <c r="N244" s="10">
        <f t="shared" si="48"/>
        <v>1</v>
      </c>
      <c r="O244" s="114" t="str">
        <f t="shared" si="58"/>
        <v>N/A</v>
      </c>
      <c r="P244" s="114" t="str">
        <f t="shared" si="49"/>
        <v>N/A</v>
      </c>
      <c r="Q244" s="114">
        <f t="shared" si="42"/>
        <v>0</v>
      </c>
      <c r="R244" s="114">
        <f t="shared" si="50"/>
        <v>0</v>
      </c>
      <c r="S244" s="114">
        <f t="shared" si="43"/>
        <v>0</v>
      </c>
      <c r="T244" s="114">
        <f t="shared" si="44"/>
        <v>1</v>
      </c>
      <c r="U244" s="114">
        <f t="shared" si="51"/>
        <v>66</v>
      </c>
      <c r="V244" s="114">
        <f t="shared" si="45"/>
        <v>66</v>
      </c>
    </row>
    <row r="245" spans="1:22" ht="56" x14ac:dyDescent="0.3">
      <c r="A245" s="10" t="str">
        <f>Questions!$A245</f>
        <v>PCOM-03</v>
      </c>
      <c r="B245" s="10" t="str">
        <f t="shared" si="46"/>
        <v>PCOM</v>
      </c>
      <c r="C245" s="10" t="str">
        <f>VLOOKUP($A245,Questions!$A$3:$L$333,2,0)&amp;""</f>
        <v>Have you had any data privacy policy or law violations in the past 36 months?</v>
      </c>
      <c r="D245" s="10" t="str">
        <f>VLOOKUP($A245,Questions!$A$3:$L$333,11,0)&amp;""</f>
        <v/>
      </c>
      <c r="E245" s="10" t="str">
        <f>VLOOKUP($A245,Questions!$A$3:$L$333,12,0)&amp;""</f>
        <v>Privacy</v>
      </c>
      <c r="F245" s="10" t="str">
        <f>VLOOKUP($A245,'Privacy Analyst Evaluation'!$A$46:$K$120,3,0)&amp;""</f>
        <v>No</v>
      </c>
      <c r="G245" s="10" t="str">
        <f>VLOOKUP($A245,'Privacy Analyst Evaluation'!$A$46:$K$120,7,0)&amp;""</f>
        <v>No</v>
      </c>
      <c r="H245" s="10" t="str">
        <f>VLOOKUP($A245,'Privacy Analyst Evaluation'!$A$46:$K$120,8,0)&amp;""</f>
        <v/>
      </c>
      <c r="I245" s="10" t="str">
        <f>VLOOKUP($A245,'Privacy Analyst Evaluation'!$A$46:$K$120,9,0)&amp;""</f>
        <v>Minor Importance</v>
      </c>
      <c r="J245" s="10" t="str">
        <f>VLOOKUP($A245,'Privacy Analyst Evaluation'!$A$46:$K$120,10,0)&amp;""</f>
        <v/>
      </c>
      <c r="K245" s="10">
        <f t="shared" si="47"/>
        <v>5</v>
      </c>
      <c r="L245" s="114">
        <f>IF($E245="Not Scored", "N/A",IF(AND($D245='Auto Responses'!$J$27,$H245=""),"N/A",IF(AND($D245='Auto Responses'!$J$27,$H245='Auto Responses'!$J$7),1,IF(AND($D245='Auto Responses'!$J$27,$H245='Auto Responses'!$J$8),0,IF(OR($F245=$G245,$H245='Auto Responses'!$J$7),1,0)))))</f>
        <v>1</v>
      </c>
      <c r="M245" s="10" t="str">
        <f>VLOOKUP($A245,'Privacy Analyst Evaluation'!$A$46:$K$120,10,0)&amp;""</f>
        <v/>
      </c>
      <c r="N245" s="10">
        <f t="shared" si="48"/>
        <v>0</v>
      </c>
      <c r="O245" s="114">
        <f t="shared" si="58"/>
        <v>5</v>
      </c>
      <c r="P245" s="114">
        <f t="shared" si="49"/>
        <v>5</v>
      </c>
      <c r="Q245" s="114">
        <f t="shared" si="42"/>
        <v>0</v>
      </c>
      <c r="R245" s="114">
        <f t="shared" si="50"/>
        <v>0</v>
      </c>
      <c r="S245" s="114">
        <f t="shared" si="43"/>
        <v>0</v>
      </c>
      <c r="T245" s="114">
        <f t="shared" si="44"/>
        <v>0</v>
      </c>
      <c r="U245" s="114">
        <f t="shared" si="51"/>
        <v>66</v>
      </c>
      <c r="V245" s="114">
        <f t="shared" si="45"/>
        <v>0</v>
      </c>
    </row>
    <row r="246" spans="1:22" ht="56" x14ac:dyDescent="0.3">
      <c r="A246" s="10" t="str">
        <f>Questions!$A246</f>
        <v>PCOM-04</v>
      </c>
      <c r="B246" s="10" t="str">
        <f t="shared" si="46"/>
        <v>PCOM</v>
      </c>
      <c r="C246" s="10" t="str">
        <f>VLOOKUP($A246,Questions!$A$3:$L$333,2,0)&amp;""</f>
        <v>Do you have a dedicated data privacy staff or office?</v>
      </c>
      <c r="D246" s="10" t="str">
        <f>VLOOKUP($A246,Questions!$A$3:$L$333,11,0)&amp;""</f>
        <v/>
      </c>
      <c r="E246" s="10" t="str">
        <f>VLOOKUP($A246,Questions!$A$3:$L$333,12,0)&amp;""</f>
        <v>Privacy</v>
      </c>
      <c r="F246" s="10" t="str">
        <f>VLOOKUP($A246,'Privacy Analyst Evaluation'!$A$46:$K$120,3,0)&amp;""</f>
        <v>No</v>
      </c>
      <c r="G246" s="10" t="str">
        <f>VLOOKUP($A246,'Privacy Analyst Evaluation'!$A$46:$K$120,7,0)&amp;""</f>
        <v>Yes</v>
      </c>
      <c r="H246" s="10" t="str">
        <f>VLOOKUP($A246,'Privacy Analyst Evaluation'!$A$46:$K$120,8,0)&amp;""</f>
        <v/>
      </c>
      <c r="I246" s="10" t="str">
        <f>VLOOKUP($A246,'Privacy Analyst Evaluation'!$A$46:$K$120,9,0)&amp;""</f>
        <v>Minor Importance</v>
      </c>
      <c r="J246" s="10" t="str">
        <f>VLOOKUP($A246,'Privacy Analyst Evaluation'!$A$46:$K$120,10,0)&amp;""</f>
        <v/>
      </c>
      <c r="K246" s="10">
        <f t="shared" si="47"/>
        <v>5</v>
      </c>
      <c r="L246" s="114">
        <f>IF($E246="Not Scored", "N/A",IF(AND($D246='Auto Responses'!$J$27,$H246=""),"N/A",IF(AND($D246='Auto Responses'!$J$27,$H246='Auto Responses'!$J$7),1,IF(AND($D246='Auto Responses'!$J$27,$H246='Auto Responses'!$J$8),0,IF(OR($F246=$G246,$H246='Auto Responses'!$J$7),1,0)))))</f>
        <v>0</v>
      </c>
      <c r="M246" s="10" t="str">
        <f>VLOOKUP($A246,'Privacy Analyst Evaluation'!$A$46:$K$120,10,0)&amp;""</f>
        <v/>
      </c>
      <c r="N246" s="10">
        <f t="shared" si="48"/>
        <v>0</v>
      </c>
      <c r="O246" s="114">
        <f t="shared" si="58"/>
        <v>5</v>
      </c>
      <c r="P246" s="114">
        <f t="shared" si="49"/>
        <v>0</v>
      </c>
      <c r="Q246" s="114">
        <f t="shared" si="42"/>
        <v>0</v>
      </c>
      <c r="R246" s="114">
        <f t="shared" si="50"/>
        <v>0</v>
      </c>
      <c r="S246" s="114">
        <f t="shared" si="43"/>
        <v>0</v>
      </c>
      <c r="T246" s="114">
        <f t="shared" si="44"/>
        <v>0</v>
      </c>
      <c r="U246" s="114">
        <f t="shared" si="51"/>
        <v>66</v>
      </c>
      <c r="V246" s="114">
        <f t="shared" si="45"/>
        <v>0</v>
      </c>
    </row>
    <row r="247" spans="1:22" ht="56" x14ac:dyDescent="0.3">
      <c r="A247" s="10" t="str">
        <f>Questions!$A247</f>
        <v>PDOC-01</v>
      </c>
      <c r="B247" s="10" t="str">
        <f t="shared" si="46"/>
        <v>PDOC</v>
      </c>
      <c r="C247" s="10" t="str">
        <f>VLOOKUP($A247,Questions!$A$3:$L$333,2,0)&amp;""</f>
        <v>If you have completed a SOC 2 audit, does it include the Privacy Trust Service Principle?</v>
      </c>
      <c r="D247" s="10" t="str">
        <f>VLOOKUP($A247,Questions!$A$3:$L$333,11,0)&amp;""</f>
        <v/>
      </c>
      <c r="E247" s="10" t="str">
        <f>VLOOKUP($A247,Questions!$A$3:$L$333,12,0)&amp;""</f>
        <v>Privacy</v>
      </c>
      <c r="F247" s="10" t="str">
        <f>VLOOKUP($A247,'Privacy Analyst Evaluation'!$A$46:$K$120,3,0)&amp;""</f>
        <v>No</v>
      </c>
      <c r="G247" s="10" t="str">
        <f>VLOOKUP($A247,'Privacy Analyst Evaluation'!$A$46:$K$120,7,0)&amp;""</f>
        <v>Yes</v>
      </c>
      <c r="H247" s="10" t="str">
        <f>VLOOKUP($A247,'Privacy Analyst Evaluation'!$A$46:$K$120,8,0)&amp;""</f>
        <v/>
      </c>
      <c r="I247" s="10" t="str">
        <f>VLOOKUP($A247,'Privacy Analyst Evaluation'!$A$46:$K$120,9,0)&amp;""</f>
        <v>Standard Importance</v>
      </c>
      <c r="J247" s="10" t="str">
        <f>VLOOKUP($A247,'Privacy Analyst Evaluation'!$A$46:$K$120,10,0)&amp;""</f>
        <v/>
      </c>
      <c r="K247" s="10">
        <f t="shared" si="47"/>
        <v>10</v>
      </c>
      <c r="L247" s="114">
        <f>IF($E247="Not Scored", "N/A",IF(AND($D247='Auto Responses'!$J$27,$H247=""),"N/A",IF(AND($D247='Auto Responses'!$J$27,$H247='Auto Responses'!$J$7),1,IF(AND($D247='Auto Responses'!$J$27,$H247='Auto Responses'!$J$8),0,IF(OR($F247=$G247,$H247='Auto Responses'!$J$7),1,0)))))</f>
        <v>0</v>
      </c>
      <c r="M247" s="10" t="str">
        <f>VLOOKUP($A247,'Privacy Analyst Evaluation'!$A$46:$K$120,10,0)&amp;""</f>
        <v/>
      </c>
      <c r="N247" s="10">
        <f t="shared" si="48"/>
        <v>0</v>
      </c>
      <c r="O247" s="114">
        <f>IF(OR($E247="Not Scored",$F247="N/A",$F$24="No"),"N/A",IF($J247="",$K247,IF($J247="Minor Importance",5,IF($J247="Standard Importance",10,IF($J247="Critical Importance",20,0)))))</f>
        <v>10</v>
      </c>
      <c r="P247" s="114">
        <f t="shared" si="49"/>
        <v>0</v>
      </c>
      <c r="Q247" s="114">
        <f t="shared" si="42"/>
        <v>0</v>
      </c>
      <c r="R247" s="114">
        <f t="shared" si="50"/>
        <v>0</v>
      </c>
      <c r="S247" s="114">
        <f t="shared" si="43"/>
        <v>0</v>
      </c>
      <c r="T247" s="114">
        <f t="shared" si="44"/>
        <v>0</v>
      </c>
      <c r="U247" s="114">
        <f t="shared" si="51"/>
        <v>66</v>
      </c>
      <c r="V247" s="114">
        <f t="shared" si="45"/>
        <v>0</v>
      </c>
    </row>
    <row r="248" spans="1:22" ht="56" x14ac:dyDescent="0.3">
      <c r="A248" s="10" t="str">
        <f>Questions!$A248</f>
        <v>PDOC-02</v>
      </c>
      <c r="B248" s="10" t="str">
        <f t="shared" si="46"/>
        <v>PDOC</v>
      </c>
      <c r="C248" s="10" t="str">
        <f>VLOOKUP($A248,Questions!$A$3:$L$333,2,0)&amp;""</f>
        <v>Do you conform with a specific industry-standard privacy framework (e.g., NIST Privacy Framework, GDPR, ISO 27701)?</v>
      </c>
      <c r="D248" s="10" t="str">
        <f>VLOOKUP($A248,Questions!$A$3:$L$333,11,0)&amp;""</f>
        <v/>
      </c>
      <c r="E248" s="10" t="str">
        <f>VLOOKUP($A248,Questions!$A$3:$L$333,12,0)&amp;""</f>
        <v>Privacy</v>
      </c>
      <c r="F248" s="10" t="str">
        <f>VLOOKUP($A248,'Privacy Analyst Evaluation'!$A$46:$K$120,3,0)&amp;""</f>
        <v>No</v>
      </c>
      <c r="G248" s="10" t="str">
        <f>VLOOKUP($A248,'Privacy Analyst Evaluation'!$A$46:$K$120,7,0)&amp;""</f>
        <v>Yes</v>
      </c>
      <c r="H248" s="10" t="str">
        <f>VLOOKUP($A248,'Privacy Analyst Evaluation'!$A$46:$K$120,8,0)&amp;""</f>
        <v/>
      </c>
      <c r="I248" s="10" t="str">
        <f>VLOOKUP($A248,'Privacy Analyst Evaluation'!$A$46:$K$120,9,0)&amp;""</f>
        <v>Standard Importance</v>
      </c>
      <c r="J248" s="10" t="str">
        <f>VLOOKUP($A248,'Privacy Analyst Evaluation'!$A$46:$K$120,10,0)&amp;""</f>
        <v/>
      </c>
      <c r="K248" s="10">
        <f t="shared" si="47"/>
        <v>10</v>
      </c>
      <c r="L248" s="114">
        <f>IF($E248="Not Scored", "N/A",IF(AND($D248='Auto Responses'!$J$27,$H248=""),"N/A",IF(AND($D248='Auto Responses'!$J$27,$H248='Auto Responses'!$J$7),1,IF(AND($D248='Auto Responses'!$J$27,$H248='Auto Responses'!$J$8),0,IF(OR($F248=$G248,$H248='Auto Responses'!$J$7),1,0)))))</f>
        <v>0</v>
      </c>
      <c r="M248" s="10" t="str">
        <f>VLOOKUP($A248,'Privacy Analyst Evaluation'!$A$46:$K$120,10,0)&amp;""</f>
        <v/>
      </c>
      <c r="N248" s="10">
        <f t="shared" si="48"/>
        <v>0</v>
      </c>
      <c r="O248" s="114">
        <f t="shared" si="58"/>
        <v>10</v>
      </c>
      <c r="P248" s="114">
        <f t="shared" si="49"/>
        <v>0</v>
      </c>
      <c r="Q248" s="114">
        <f t="shared" si="42"/>
        <v>0</v>
      </c>
      <c r="R248" s="114">
        <f t="shared" si="50"/>
        <v>0</v>
      </c>
      <c r="S248" s="114">
        <f t="shared" si="43"/>
        <v>0</v>
      </c>
      <c r="T248" s="114">
        <f t="shared" si="44"/>
        <v>0</v>
      </c>
      <c r="U248" s="114">
        <f t="shared" si="51"/>
        <v>66</v>
      </c>
      <c r="V248" s="114">
        <f t="shared" si="45"/>
        <v>0</v>
      </c>
    </row>
    <row r="249" spans="1:22" ht="56" x14ac:dyDescent="0.3">
      <c r="A249" s="10" t="str">
        <f>Questions!$A249</f>
        <v>PDOC-03</v>
      </c>
      <c r="B249" s="10" t="str">
        <f t="shared" si="46"/>
        <v>PDOC</v>
      </c>
      <c r="C249" s="10" t="str">
        <f>VLOOKUP($A249,Questions!$A$3:$L$333,2,0)&amp;""</f>
        <v>Does your employee onboarding and offboarding policy include training of employees on information security and data privacy?</v>
      </c>
      <c r="D249" s="10" t="str">
        <f>VLOOKUP($A249,Questions!$A$3:$L$333,11,0)&amp;""</f>
        <v/>
      </c>
      <c r="E249" s="10" t="str">
        <f>VLOOKUP($A249,Questions!$A$3:$L$333,12,0)&amp;""</f>
        <v>Privacy</v>
      </c>
      <c r="F249" s="10" t="str">
        <f>VLOOKUP($A249,'Privacy Analyst Evaluation'!$A$46:$K$120,3,0)&amp;""</f>
        <v>Yes</v>
      </c>
      <c r="G249" s="10" t="str">
        <f>VLOOKUP($A249,'Privacy Analyst Evaluation'!$A$46:$K$120,7,0)&amp;""</f>
        <v>Yes</v>
      </c>
      <c r="H249" s="10" t="str">
        <f>VLOOKUP($A249,'Privacy Analyst Evaluation'!$A$46:$K$120,8,0)&amp;""</f>
        <v/>
      </c>
      <c r="I249" s="10" t="str">
        <f>VLOOKUP($A249,'Privacy Analyst Evaluation'!$A$46:$K$120,9,0)&amp;""</f>
        <v>Standard Importance</v>
      </c>
      <c r="J249" s="10" t="str">
        <f>VLOOKUP($A249,'Privacy Analyst Evaluation'!$A$46:$K$120,10,0)&amp;""</f>
        <v/>
      </c>
      <c r="K249" s="10">
        <f t="shared" si="47"/>
        <v>10</v>
      </c>
      <c r="L249" s="114">
        <f>IF($E249="Not Scored", "N/A",IF(AND($D249='Auto Responses'!$J$27,$H249=""),"N/A",IF(AND($D249='Auto Responses'!$J$27,$H249='Auto Responses'!$J$7),1,IF(AND($D249='Auto Responses'!$J$27,$H249='Auto Responses'!$J$8),0,IF(OR($F249=$G249,$H249='Auto Responses'!$J$7),1,0)))))</f>
        <v>1</v>
      </c>
      <c r="M249" s="10" t="str">
        <f>VLOOKUP($A249,'Privacy Analyst Evaluation'!$A$46:$K$120,10,0)&amp;""</f>
        <v/>
      </c>
      <c r="N249" s="10">
        <f t="shared" si="48"/>
        <v>0</v>
      </c>
      <c r="O249" s="114">
        <f t="shared" si="58"/>
        <v>10</v>
      </c>
      <c r="P249" s="114">
        <f t="shared" si="49"/>
        <v>10</v>
      </c>
      <c r="Q249" s="114">
        <f t="shared" si="42"/>
        <v>0</v>
      </c>
      <c r="R249" s="114">
        <f t="shared" si="50"/>
        <v>0</v>
      </c>
      <c r="S249" s="114">
        <f t="shared" si="43"/>
        <v>0</v>
      </c>
      <c r="T249" s="114">
        <f t="shared" si="44"/>
        <v>0</v>
      </c>
      <c r="U249" s="114">
        <f t="shared" si="51"/>
        <v>66</v>
      </c>
      <c r="V249" s="114">
        <f t="shared" si="45"/>
        <v>0</v>
      </c>
    </row>
    <row r="250" spans="1:22" ht="56" x14ac:dyDescent="0.3">
      <c r="A250" s="10" t="str">
        <f>Questions!$A250</f>
        <v>PTHP-01</v>
      </c>
      <c r="B250" s="10" t="str">
        <f t="shared" si="46"/>
        <v>PTHP</v>
      </c>
      <c r="C250" s="10" t="str">
        <f>VLOOKUP($A250,Questions!$A$3:$L$333,2,0)&amp;""</f>
        <v>Do you have contractual agreements with third parties that require them to maintain standards and to comply with all regulatory requirements?*</v>
      </c>
      <c r="D250" s="10" t="str">
        <f>VLOOKUP($A250,Questions!$A$3:$L$333,11,0)&amp;""</f>
        <v/>
      </c>
      <c r="E250" s="10" t="str">
        <f>VLOOKUP($A250,Questions!$A$3:$L$333,12,0)&amp;""</f>
        <v>Privacy</v>
      </c>
      <c r="F250" s="10" t="str">
        <f>VLOOKUP($A250,'Privacy Analyst Evaluation'!$A$46:$K$120,3,0)&amp;""</f>
        <v>Yes</v>
      </c>
      <c r="G250" s="10" t="str">
        <f>VLOOKUP($A250,'Privacy Analyst Evaluation'!$A$46:$K$120,7,0)&amp;""</f>
        <v>Yes</v>
      </c>
      <c r="H250" s="10" t="str">
        <f>VLOOKUP($A250,'Privacy Analyst Evaluation'!$A$46:$K$120,8,0)&amp;""</f>
        <v/>
      </c>
      <c r="I250" s="10" t="str">
        <f>VLOOKUP($A250,'Privacy Analyst Evaluation'!$A$46:$K$120,9,0)&amp;""</f>
        <v>Critical Importance</v>
      </c>
      <c r="J250" s="10" t="str">
        <f>VLOOKUP($A250,'Privacy Analyst Evaluation'!$A$46:$K$120,10,0)&amp;""</f>
        <v/>
      </c>
      <c r="K250" s="10">
        <f t="shared" si="47"/>
        <v>20</v>
      </c>
      <c r="L250" s="114">
        <f>IF($E250="Not Scored", "N/A",IF(AND($D250='Auto Responses'!$J$27,$H250=""),"N/A",IF(AND($D250='Auto Responses'!$J$27,$H250='Auto Responses'!$J$7),1,IF(AND($D250='Auto Responses'!$J$27,$H250='Auto Responses'!$J$8),0,IF(OR($F250=$G250,$H250='Auto Responses'!$J$7),1,0)))))</f>
        <v>1</v>
      </c>
      <c r="M250" s="10" t="str">
        <f>VLOOKUP($A250,'Privacy Analyst Evaluation'!$A$46:$K$120,10,0)&amp;""</f>
        <v/>
      </c>
      <c r="N250" s="10">
        <f t="shared" si="48"/>
        <v>1</v>
      </c>
      <c r="O250" s="114">
        <f t="shared" si="58"/>
        <v>20</v>
      </c>
      <c r="P250" s="114">
        <f t="shared" si="49"/>
        <v>20</v>
      </c>
      <c r="Q250" s="114">
        <f t="shared" si="42"/>
        <v>0</v>
      </c>
      <c r="R250" s="114">
        <f t="shared" si="50"/>
        <v>0</v>
      </c>
      <c r="S250" s="114">
        <f t="shared" si="43"/>
        <v>0</v>
      </c>
      <c r="T250" s="114">
        <f t="shared" si="44"/>
        <v>1</v>
      </c>
      <c r="U250" s="114">
        <f t="shared" si="51"/>
        <v>67</v>
      </c>
      <c r="V250" s="114">
        <f t="shared" si="45"/>
        <v>67</v>
      </c>
    </row>
    <row r="251" spans="1:22" ht="70" x14ac:dyDescent="0.3">
      <c r="A251" s="10" t="str">
        <f>Questions!$A251</f>
        <v>PTHP-02</v>
      </c>
      <c r="B251" s="10" t="str">
        <f t="shared" si="46"/>
        <v>PTHP</v>
      </c>
      <c r="C251" s="10" t="str">
        <f>VLOOKUP($A251,Questions!$A$3:$L$333,2,0)&amp;""</f>
        <v xml:space="preserve">Do you perform privacy impact assesments of third parties that collect, process, or have access to personal data to ensure they meet industry and regulatory standards and to mitigate harmful, unethical, or discriminatory impacts on data subjects? </v>
      </c>
      <c r="D251" s="10" t="str">
        <f>VLOOKUP($A251,Questions!$A$3:$L$333,11,0)&amp;""</f>
        <v/>
      </c>
      <c r="E251" s="10" t="str">
        <f>VLOOKUP($A251,Questions!$A$3:$L$333,12,0)&amp;""</f>
        <v>Privacy</v>
      </c>
      <c r="F251" s="10" t="str">
        <f>VLOOKUP($A251,'Privacy Analyst Evaluation'!$A$46:$K$120,3,0)&amp;""</f>
        <v>Yes</v>
      </c>
      <c r="G251" s="10" t="str">
        <f>VLOOKUP($A251,'Privacy Analyst Evaluation'!$A$46:$K$120,7,0)&amp;""</f>
        <v>Yes</v>
      </c>
      <c r="H251" s="10" t="str">
        <f>VLOOKUP($A251,'Privacy Analyst Evaluation'!$A$46:$K$120,8,0)&amp;""</f>
        <v/>
      </c>
      <c r="I251" s="10" t="str">
        <f>VLOOKUP($A251,'Privacy Analyst Evaluation'!$A$46:$K$120,9,0)&amp;""</f>
        <v>Minor Importance</v>
      </c>
      <c r="J251" s="10" t="str">
        <f>VLOOKUP($A251,'Privacy Analyst Evaluation'!$A$46:$K$120,10,0)&amp;""</f>
        <v/>
      </c>
      <c r="K251" s="10">
        <f t="shared" si="47"/>
        <v>5</v>
      </c>
      <c r="L251" s="114">
        <f>IF($E251="Not Scored", "N/A",IF(AND($D251='Auto Responses'!$J$27,$H251=""),"N/A",IF(AND($D251='Auto Responses'!$J$27,$H251='Auto Responses'!$J$7),1,IF(AND($D251='Auto Responses'!$J$27,$H251='Auto Responses'!$J$8),0,IF(OR($F251=$G251,$H251='Auto Responses'!$J$7),1,0)))))</f>
        <v>1</v>
      </c>
      <c r="M251" s="10" t="str">
        <f>VLOOKUP($A251,'Privacy Analyst Evaluation'!$A$46:$K$120,10,0)&amp;""</f>
        <v/>
      </c>
      <c r="N251" s="10">
        <f t="shared" si="48"/>
        <v>0</v>
      </c>
      <c r="O251" s="114">
        <f t="shared" si="58"/>
        <v>5</v>
      </c>
      <c r="P251" s="114">
        <f t="shared" si="49"/>
        <v>5</v>
      </c>
      <c r="Q251" s="114">
        <f t="shared" si="42"/>
        <v>0</v>
      </c>
      <c r="R251" s="114">
        <f t="shared" si="50"/>
        <v>0</v>
      </c>
      <c r="S251" s="114">
        <f t="shared" si="43"/>
        <v>0</v>
      </c>
      <c r="T251" s="114">
        <f t="shared" si="44"/>
        <v>0</v>
      </c>
      <c r="U251" s="114">
        <f t="shared" si="51"/>
        <v>67</v>
      </c>
      <c r="V251" s="114">
        <f t="shared" si="45"/>
        <v>0</v>
      </c>
    </row>
    <row r="252" spans="1:22" ht="56" x14ac:dyDescent="0.3">
      <c r="A252" s="10" t="str">
        <f>Questions!$A252</f>
        <v>PCHG-01</v>
      </c>
      <c r="B252" s="10" t="str">
        <f t="shared" si="46"/>
        <v>PCHG</v>
      </c>
      <c r="C252" s="10" t="str">
        <f>VLOOKUP($A252,Questions!$A$3:$L$333,2,0)&amp;""</f>
        <v>Does your change management process include privacy review and approval?</v>
      </c>
      <c r="D252" s="10" t="str">
        <f>VLOOKUP($A252,Questions!$A$3:$L$333,11,0)&amp;""</f>
        <v/>
      </c>
      <c r="E252" s="10" t="str">
        <f>VLOOKUP($A252,Questions!$A$3:$L$333,12,0)&amp;""</f>
        <v>Privacy</v>
      </c>
      <c r="F252" s="10" t="str">
        <f>VLOOKUP($A252,'Privacy Analyst Evaluation'!$A$46:$K$120,3,0)&amp;""</f>
        <v>Yes</v>
      </c>
      <c r="G252" s="10" t="str">
        <f>VLOOKUP($A252,'Privacy Analyst Evaluation'!$A$46:$K$120,7,0)&amp;""</f>
        <v>Yes</v>
      </c>
      <c r="H252" s="10" t="str">
        <f>VLOOKUP($A252,'Privacy Analyst Evaluation'!$A$46:$K$120,8,0)&amp;""</f>
        <v/>
      </c>
      <c r="I252" s="10" t="str">
        <f>VLOOKUP($A252,'Privacy Analyst Evaluation'!$A$46:$K$120,9,0)&amp;""</f>
        <v>Standard Importance</v>
      </c>
      <c r="J252" s="10" t="str">
        <f>VLOOKUP($A252,'Privacy Analyst Evaluation'!$A$46:$K$120,10,0)&amp;""</f>
        <v/>
      </c>
      <c r="K252" s="10">
        <f t="shared" si="47"/>
        <v>10</v>
      </c>
      <c r="L252" s="114">
        <f>IF($E252="Not Scored", "N/A",IF(AND($D252='Auto Responses'!$J$27,$H252=""),"N/A",IF(AND($D252='Auto Responses'!$J$27,$H252='Auto Responses'!$J$7),1,IF(AND($D252='Auto Responses'!$J$27,$H252='Auto Responses'!$J$8),0,IF(OR($F252=$G252,$H252='Auto Responses'!$J$7),1,0)))))</f>
        <v>1</v>
      </c>
      <c r="M252" s="10" t="str">
        <f>VLOOKUP($A252,'Privacy Analyst Evaluation'!$A$46:$K$120,10,0)&amp;""</f>
        <v/>
      </c>
      <c r="N252" s="10">
        <f t="shared" si="48"/>
        <v>0</v>
      </c>
      <c r="O252" s="114">
        <f t="shared" si="58"/>
        <v>10</v>
      </c>
      <c r="P252" s="114">
        <f t="shared" si="49"/>
        <v>10</v>
      </c>
      <c r="Q252" s="114">
        <f t="shared" si="42"/>
        <v>0</v>
      </c>
      <c r="R252" s="114">
        <f t="shared" si="50"/>
        <v>0</v>
      </c>
      <c r="S252" s="114">
        <f t="shared" si="43"/>
        <v>0</v>
      </c>
      <c r="T252" s="114">
        <f t="shared" si="44"/>
        <v>0</v>
      </c>
      <c r="U252" s="114">
        <f t="shared" si="51"/>
        <v>67</v>
      </c>
      <c r="V252" s="114">
        <f t="shared" si="45"/>
        <v>0</v>
      </c>
    </row>
    <row r="253" spans="1:22" ht="56" x14ac:dyDescent="0.3">
      <c r="A253" s="10" t="str">
        <f>Questions!$A253</f>
        <v>PCHG-02</v>
      </c>
      <c r="B253" s="10" t="str">
        <f t="shared" si="46"/>
        <v>PCHG</v>
      </c>
      <c r="C253" s="10" t="str">
        <f>VLOOKUP($A253,Questions!$A$3:$L$333,2,0)&amp;""</f>
        <v>Do you have policy and procedure, currently implemented, guiding how privacy risks are mitigated until they can be resolved?</v>
      </c>
      <c r="D253" s="10" t="str">
        <f>VLOOKUP($A253,Questions!$A$3:$L$333,11,0)&amp;""</f>
        <v/>
      </c>
      <c r="E253" s="10" t="str">
        <f>VLOOKUP($A253,Questions!$A$3:$L$333,12,0)&amp;""</f>
        <v>Privacy</v>
      </c>
      <c r="F253" s="10" t="str">
        <f>VLOOKUP($A253,'Privacy Analyst Evaluation'!$A$46:$K$120,3,0)&amp;""</f>
        <v>Yes</v>
      </c>
      <c r="G253" s="10" t="str">
        <f>VLOOKUP($A253,'Privacy Analyst Evaluation'!$A$46:$K$120,7,0)&amp;""</f>
        <v>Yes</v>
      </c>
      <c r="H253" s="10" t="str">
        <f>VLOOKUP($A253,'Privacy Analyst Evaluation'!$A$46:$K$120,8,0)&amp;""</f>
        <v/>
      </c>
      <c r="I253" s="10" t="str">
        <f>VLOOKUP($A253,'Privacy Analyst Evaluation'!$A$46:$K$120,9,0)&amp;""</f>
        <v>Minor Importance</v>
      </c>
      <c r="J253" s="10" t="str">
        <f>VLOOKUP($A253,'Privacy Analyst Evaluation'!$A$46:$K$120,10,0)&amp;""</f>
        <v/>
      </c>
      <c r="K253" s="10">
        <f t="shared" si="47"/>
        <v>5</v>
      </c>
      <c r="L253" s="114">
        <f>IF($E253="Not Scored", "N/A",IF(AND($D253='Auto Responses'!$J$27,$H253=""),"N/A",IF(AND($D253='Auto Responses'!$J$27,$H253='Auto Responses'!$J$7),1,IF(AND($D253='Auto Responses'!$J$27,$H253='Auto Responses'!$J$8),0,IF(OR($F253=$G253,$H253='Auto Responses'!$J$7),1,0)))))</f>
        <v>1</v>
      </c>
      <c r="M253" s="10" t="str">
        <f>VLOOKUP($A253,'Privacy Analyst Evaluation'!$A$46:$K$120,10,0)&amp;""</f>
        <v/>
      </c>
      <c r="N253" s="10">
        <f t="shared" si="48"/>
        <v>0</v>
      </c>
      <c r="O253" s="114">
        <f t="shared" si="58"/>
        <v>5</v>
      </c>
      <c r="P253" s="114">
        <f t="shared" si="49"/>
        <v>5</v>
      </c>
      <c r="Q253" s="114">
        <f t="shared" si="42"/>
        <v>0</v>
      </c>
      <c r="R253" s="114">
        <f t="shared" si="50"/>
        <v>0</v>
      </c>
      <c r="S253" s="114">
        <f t="shared" si="43"/>
        <v>0</v>
      </c>
      <c r="T253" s="114">
        <f t="shared" si="44"/>
        <v>0</v>
      </c>
      <c r="U253" s="114">
        <f t="shared" si="51"/>
        <v>67</v>
      </c>
      <c r="V253" s="114">
        <f t="shared" si="45"/>
        <v>0</v>
      </c>
    </row>
    <row r="254" spans="1:22" ht="56" x14ac:dyDescent="0.3">
      <c r="A254" s="10" t="str">
        <f>Questions!$A254</f>
        <v>PDAT-01</v>
      </c>
      <c r="B254" s="10" t="str">
        <f t="shared" si="46"/>
        <v>PDAT</v>
      </c>
      <c r="C254" s="10" t="str">
        <f>VLOOKUP($A254,Questions!$A$3:$L$333,2,0)&amp;""</f>
        <v>Do you collect, process, or store demographic information?*</v>
      </c>
      <c r="D254" s="10" t="str">
        <f>VLOOKUP($A254,Questions!$A$3:$L$333,11,0)&amp;""</f>
        <v/>
      </c>
      <c r="E254" s="10" t="str">
        <f>VLOOKUP($A254,Questions!$A$3:$L$333,12,0)&amp;""</f>
        <v>Privacy</v>
      </c>
      <c r="F254" s="10" t="str">
        <f>VLOOKUP($A254,'Privacy Analyst Evaluation'!$A$46:$K$120,3,0)&amp;""</f>
        <v>No</v>
      </c>
      <c r="G254" s="10" t="str">
        <f>VLOOKUP($A254,'Privacy Analyst Evaluation'!$A$46:$K$120,7,0)&amp;""</f>
        <v>No</v>
      </c>
      <c r="H254" s="10" t="str">
        <f>VLOOKUP($A254,'Privacy Analyst Evaluation'!$A$46:$K$120,8,0)&amp;""</f>
        <v/>
      </c>
      <c r="I254" s="10" t="str">
        <f>VLOOKUP($A254,'Privacy Analyst Evaluation'!$A$46:$K$120,9,0)&amp;""</f>
        <v>Critical Importance</v>
      </c>
      <c r="J254" s="10" t="str">
        <f>VLOOKUP($A254,'Privacy Analyst Evaluation'!$A$46:$K$120,10,0)&amp;""</f>
        <v/>
      </c>
      <c r="K254" s="10">
        <f t="shared" si="47"/>
        <v>20</v>
      </c>
      <c r="L254" s="114">
        <f>IF($E254="Not Scored", "N/A",IF(AND($D254='Auto Responses'!$J$27,$H254=""),"N/A",IF(AND($D254='Auto Responses'!$J$27,$H254='Auto Responses'!$J$7),1,IF(AND($D254='Auto Responses'!$J$27,$H254='Auto Responses'!$J$8),0,IF(OR($F254=$G254,$H254='Auto Responses'!$J$7),1,0)))))</f>
        <v>1</v>
      </c>
      <c r="M254" s="10" t="str">
        <f>VLOOKUP($A254,'Privacy Analyst Evaluation'!$A$46:$K$120,10,0)&amp;""</f>
        <v/>
      </c>
      <c r="N254" s="10">
        <f t="shared" si="48"/>
        <v>1</v>
      </c>
      <c r="O254" s="114">
        <f t="shared" si="58"/>
        <v>20</v>
      </c>
      <c r="P254" s="114">
        <f t="shared" si="49"/>
        <v>20</v>
      </c>
      <c r="Q254" s="114">
        <f t="shared" ref="Q254:Q316" si="59">IF(M254="TRUE",1,0)</f>
        <v>0</v>
      </c>
      <c r="R254" s="114">
        <f t="shared" si="50"/>
        <v>0</v>
      </c>
      <c r="S254" s="114">
        <f t="shared" ref="S254:S316" si="60">IF(Q254=0,0,R254)</f>
        <v>0</v>
      </c>
      <c r="T254" s="114">
        <f t="shared" ref="T254:T316" si="61">IF(N254=1,1,0)</f>
        <v>1</v>
      </c>
      <c r="U254" s="114">
        <f t="shared" si="51"/>
        <v>68</v>
      </c>
      <c r="V254" s="114">
        <f t="shared" ref="V254:V316" si="62">IF(T254=0,0,U254)</f>
        <v>68</v>
      </c>
    </row>
    <row r="255" spans="1:22" ht="56" x14ac:dyDescent="0.3">
      <c r="A255" s="10" t="str">
        <f>Questions!$A255</f>
        <v>PDAT-02</v>
      </c>
      <c r="B255" s="10" t="str">
        <f t="shared" ref="B255:B317" si="63">LEFT(A255,4)</f>
        <v>PDAT</v>
      </c>
      <c r="C255" s="10" t="str">
        <f>VLOOKUP($A255,Questions!$A$3:$L$333,2,0)&amp;""</f>
        <v>Do you capture or create genetic, biometric, or behaviometric information (e.g.,  facial recognition or fingerprints)?*</v>
      </c>
      <c r="D255" s="10" t="str">
        <f>VLOOKUP($A255,Questions!$A$3:$L$333,11,0)&amp;""</f>
        <v/>
      </c>
      <c r="E255" s="10" t="str">
        <f>VLOOKUP($A255,Questions!$A$3:$L$333,12,0)&amp;""</f>
        <v>Privacy</v>
      </c>
      <c r="F255" s="10" t="str">
        <f>VLOOKUP($A255,'Privacy Analyst Evaluation'!$A$46:$K$120,3,0)&amp;""</f>
        <v>No</v>
      </c>
      <c r="G255" s="10" t="str">
        <f>VLOOKUP($A255,'Privacy Analyst Evaluation'!$A$46:$K$120,7,0)&amp;""</f>
        <v>No</v>
      </c>
      <c r="H255" s="10" t="str">
        <f>VLOOKUP($A255,'Privacy Analyst Evaluation'!$A$46:$K$120,8,0)&amp;""</f>
        <v/>
      </c>
      <c r="I255" s="10" t="str">
        <f>VLOOKUP($A255,'Privacy Analyst Evaluation'!$A$46:$K$120,9,0)&amp;""</f>
        <v>Critical Importance</v>
      </c>
      <c r="J255" s="10" t="str">
        <f>VLOOKUP($A255,'Privacy Analyst Evaluation'!$A$46:$K$120,10,0)&amp;""</f>
        <v/>
      </c>
      <c r="K255" s="10">
        <f t="shared" ref="K255:K317" si="64">IF($I255="Critical Importance",20,IF($I255="Minor Importance",5,10))</f>
        <v>20</v>
      </c>
      <c r="L255" s="114">
        <f>IF($E255="Not Scored", "N/A",IF(AND($D255='Auto Responses'!$J$27,$H255=""),"N/A",IF(AND($D255='Auto Responses'!$J$27,$H255='Auto Responses'!$J$7),1,IF(AND($D255='Auto Responses'!$J$27,$H255='Auto Responses'!$J$8),0,IF(OR($F255=$G255,$H255='Auto Responses'!$J$7),1,0)))))</f>
        <v>1</v>
      </c>
      <c r="M255" s="10" t="str">
        <f>VLOOKUP($A255,'Privacy Analyst Evaluation'!$A$46:$K$120,10,0)&amp;""</f>
        <v/>
      </c>
      <c r="N255" s="10">
        <f t="shared" ref="N255:N317" si="65">IF($J255="Critical Importance",1,IF(AND($J255="",$I255="Critical Importance"),1,0))</f>
        <v>1</v>
      </c>
      <c r="O255" s="114">
        <f t="shared" si="58"/>
        <v>20</v>
      </c>
      <c r="P255" s="114">
        <f t="shared" ref="P255:P317" si="66">IF(OR($O255="N/A",$L255="N/A"),"N/A",$O255*$L255)</f>
        <v>20</v>
      </c>
      <c r="Q255" s="114">
        <f t="shared" si="59"/>
        <v>0</v>
      </c>
      <c r="R255" s="114">
        <f t="shared" si="50"/>
        <v>0</v>
      </c>
      <c r="S255" s="114">
        <f t="shared" si="60"/>
        <v>0</v>
      </c>
      <c r="T255" s="114">
        <f t="shared" si="61"/>
        <v>1</v>
      </c>
      <c r="U255" s="114">
        <f t="shared" si="51"/>
        <v>69</v>
      </c>
      <c r="V255" s="114">
        <f t="shared" si="62"/>
        <v>69</v>
      </c>
    </row>
    <row r="256" spans="1:22" ht="56" x14ac:dyDescent="0.3">
      <c r="A256" s="10" t="str">
        <f>Questions!$A256</f>
        <v>PDAT-03</v>
      </c>
      <c r="B256" s="10" t="str">
        <f t="shared" si="63"/>
        <v>PDAT</v>
      </c>
      <c r="C256" s="10" t="str">
        <f>VLOOKUP($A256,Questions!$A$3:$L$333,2,0)&amp;""</f>
        <v>Do you combine institutional data (including "de-identified," "anonymized," or otherwise masked data) with personal data from any other sources?*</v>
      </c>
      <c r="D256" s="10" t="str">
        <f>VLOOKUP($A256,Questions!$A$3:$L$333,11,0)&amp;""</f>
        <v/>
      </c>
      <c r="E256" s="10" t="str">
        <f>VLOOKUP($A256,Questions!$A$3:$L$333,12,0)&amp;""</f>
        <v>Privacy</v>
      </c>
      <c r="F256" s="10" t="str">
        <f>VLOOKUP($A256,'Privacy Analyst Evaluation'!$A$46:$K$120,3,0)&amp;""</f>
        <v>No</v>
      </c>
      <c r="G256" s="10" t="str">
        <f>VLOOKUP($A256,'Privacy Analyst Evaluation'!$A$46:$K$120,7,0)&amp;""</f>
        <v>No</v>
      </c>
      <c r="H256" s="10" t="str">
        <f>VLOOKUP($A256,'Privacy Analyst Evaluation'!$A$46:$K$120,8,0)&amp;""</f>
        <v/>
      </c>
      <c r="I256" s="10" t="str">
        <f>VLOOKUP($A256,'Privacy Analyst Evaluation'!$A$46:$K$120,9,0)&amp;""</f>
        <v>Critical Importance</v>
      </c>
      <c r="J256" s="10" t="str">
        <f>VLOOKUP($A256,'Privacy Analyst Evaluation'!$A$46:$K$120,10,0)&amp;""</f>
        <v/>
      </c>
      <c r="K256" s="10">
        <f t="shared" si="64"/>
        <v>20</v>
      </c>
      <c r="L256" s="114">
        <f>IF($E256="Not Scored", "N/A",IF(AND($D256='Auto Responses'!$J$27,$H256=""),"N/A",IF(AND($D256='Auto Responses'!$J$27,$H256='Auto Responses'!$J$7),1,IF(AND($D256='Auto Responses'!$J$27,$H256='Auto Responses'!$J$8),0,IF(OR($F256=$G256,$H256='Auto Responses'!$J$7),1,0)))))</f>
        <v>1</v>
      </c>
      <c r="M256" s="10" t="str">
        <f>VLOOKUP($A256,'Privacy Analyst Evaluation'!$A$46:$K$120,10,0)&amp;""</f>
        <v/>
      </c>
      <c r="N256" s="10">
        <f t="shared" si="65"/>
        <v>1</v>
      </c>
      <c r="O256" s="114">
        <f t="shared" si="58"/>
        <v>20</v>
      </c>
      <c r="P256" s="114">
        <f t="shared" si="66"/>
        <v>20</v>
      </c>
      <c r="Q256" s="114">
        <f t="shared" si="59"/>
        <v>0</v>
      </c>
      <c r="R256" s="114">
        <f t="shared" si="50"/>
        <v>0</v>
      </c>
      <c r="S256" s="114">
        <f t="shared" si="60"/>
        <v>0</v>
      </c>
      <c r="T256" s="114">
        <f t="shared" si="61"/>
        <v>1</v>
      </c>
      <c r="U256" s="114">
        <f t="shared" si="51"/>
        <v>70</v>
      </c>
      <c r="V256" s="114">
        <f t="shared" si="62"/>
        <v>70</v>
      </c>
    </row>
    <row r="257" spans="1:22" ht="56" x14ac:dyDescent="0.3">
      <c r="A257" s="10" t="str">
        <f>Questions!$A257</f>
        <v>PDAT-04</v>
      </c>
      <c r="B257" s="10" t="str">
        <f t="shared" si="63"/>
        <v>PDAT</v>
      </c>
      <c r="C257" s="10" t="str">
        <f>VLOOKUP($A257,Questions!$A$3:$L$333,2,0)&amp;""</f>
        <v>Is institutional data coming into or going out of the United States at any point during collection, processing, storage, or archiving?</v>
      </c>
      <c r="D257" s="10" t="str">
        <f>VLOOKUP($A257,Questions!$A$3:$L$333,11,0)&amp;""</f>
        <v/>
      </c>
      <c r="E257" s="10" t="str">
        <f>VLOOKUP($A257,Questions!$A$3:$L$333,12,0)&amp;""</f>
        <v>Privacy</v>
      </c>
      <c r="F257" s="10" t="str">
        <f>VLOOKUP($A257,'Privacy Analyst Evaluation'!$A$46:$K$120,3,0)&amp;""</f>
        <v>Yes</v>
      </c>
      <c r="G257" s="10" t="str">
        <f>VLOOKUP($A257,'Privacy Analyst Evaluation'!$A$46:$K$120,7,0)&amp;""</f>
        <v>No</v>
      </c>
      <c r="H257" s="10" t="str">
        <f>VLOOKUP($A257,'Privacy Analyst Evaluation'!$A$46:$K$120,8,0)&amp;""</f>
        <v/>
      </c>
      <c r="I257" s="10" t="str">
        <f>VLOOKUP($A257,'Privacy Analyst Evaluation'!$A$46:$K$120,9,0)&amp;""</f>
        <v>Minor Importance</v>
      </c>
      <c r="J257" s="10" t="str">
        <f>VLOOKUP($A257,'Privacy Analyst Evaluation'!$A$46:$K$120,10,0)&amp;""</f>
        <v/>
      </c>
      <c r="K257" s="10">
        <f t="shared" si="64"/>
        <v>5</v>
      </c>
      <c r="L257" s="114">
        <f>IF($E257="Not Scored", "N/A",IF(AND($D257='Auto Responses'!$J$27,$H257=""),"N/A",IF(AND($D257='Auto Responses'!$J$27,$H257='Auto Responses'!$J$7),1,IF(AND($D257='Auto Responses'!$J$27,$H257='Auto Responses'!$J$8),0,IF(OR($F257=$G257,$H257='Auto Responses'!$J$7),1,0)))))</f>
        <v>0</v>
      </c>
      <c r="M257" s="10" t="str">
        <f>VLOOKUP($A257,'Privacy Analyst Evaluation'!$A$46:$K$120,10,0)&amp;""</f>
        <v/>
      </c>
      <c r="N257" s="10">
        <f t="shared" si="65"/>
        <v>0</v>
      </c>
      <c r="O257" s="114">
        <f t="shared" si="58"/>
        <v>5</v>
      </c>
      <c r="P257" s="114">
        <f t="shared" si="66"/>
        <v>0</v>
      </c>
      <c r="Q257" s="114">
        <f t="shared" si="59"/>
        <v>0</v>
      </c>
      <c r="R257" s="114">
        <f t="shared" si="50"/>
        <v>0</v>
      </c>
      <c r="S257" s="114">
        <f t="shared" si="60"/>
        <v>0</v>
      </c>
      <c r="T257" s="114">
        <f t="shared" si="61"/>
        <v>0</v>
      </c>
      <c r="U257" s="114">
        <f t="shared" si="51"/>
        <v>70</v>
      </c>
      <c r="V257" s="114">
        <f t="shared" si="62"/>
        <v>0</v>
      </c>
    </row>
    <row r="258" spans="1:22" ht="56" x14ac:dyDescent="0.3">
      <c r="A258" s="10" t="str">
        <f>Questions!$A258</f>
        <v>PDAT-05</v>
      </c>
      <c r="B258" s="10" t="str">
        <f t="shared" si="63"/>
        <v>PDAT</v>
      </c>
      <c r="C258" s="10" t="str">
        <f>VLOOKUP($A258,Questions!$A$3:$L$333,2,0)&amp;""</f>
        <v>Do you capture device information (e.g., IP address, MAC address)?</v>
      </c>
      <c r="D258" s="10" t="str">
        <f>VLOOKUP($A258,Questions!$A$3:$L$333,11,0)&amp;""</f>
        <v/>
      </c>
      <c r="E258" s="10" t="str">
        <f>VLOOKUP($A258,Questions!$A$3:$L$333,12,0)&amp;""</f>
        <v>Privacy</v>
      </c>
      <c r="F258" s="10" t="str">
        <f>VLOOKUP($A258,'Privacy Analyst Evaluation'!$A$46:$K$120,3,0)&amp;""</f>
        <v>Yes</v>
      </c>
      <c r="G258" s="10" t="str">
        <f>VLOOKUP($A258,'Privacy Analyst Evaluation'!$A$46:$K$120,7,0)&amp;""</f>
        <v>No</v>
      </c>
      <c r="H258" s="10" t="str">
        <f>VLOOKUP($A258,'Privacy Analyst Evaluation'!$A$46:$K$120,8,0)&amp;""</f>
        <v/>
      </c>
      <c r="I258" s="10" t="str">
        <f>VLOOKUP($A258,'Privacy Analyst Evaluation'!$A$46:$K$120,9,0)&amp;""</f>
        <v>Minor Importance</v>
      </c>
      <c r="J258" s="10" t="str">
        <f>VLOOKUP($A258,'Privacy Analyst Evaluation'!$A$46:$K$120,10,0)&amp;""</f>
        <v/>
      </c>
      <c r="K258" s="10">
        <f t="shared" si="64"/>
        <v>5</v>
      </c>
      <c r="L258" s="114">
        <f>IF($E258="Not Scored", "N/A",IF(AND($D258='Auto Responses'!$J$27,$H258=""),"N/A",IF(AND($D258='Auto Responses'!$J$27,$H258='Auto Responses'!$J$7),1,IF(AND($D258='Auto Responses'!$J$27,$H258='Auto Responses'!$J$8),0,IF(OR($F258=$G258,$H258='Auto Responses'!$J$7),1,0)))))</f>
        <v>0</v>
      </c>
      <c r="M258" s="10" t="str">
        <f>VLOOKUP($A258,'Privacy Analyst Evaluation'!$A$46:$K$120,10,0)&amp;""</f>
        <v/>
      </c>
      <c r="N258" s="10">
        <f t="shared" si="65"/>
        <v>0</v>
      </c>
      <c r="O258" s="114">
        <f t="shared" si="58"/>
        <v>5</v>
      </c>
      <c r="P258" s="114">
        <f t="shared" si="66"/>
        <v>0</v>
      </c>
      <c r="Q258" s="114">
        <f t="shared" si="59"/>
        <v>0</v>
      </c>
      <c r="R258" s="114">
        <f t="shared" si="50"/>
        <v>0</v>
      </c>
      <c r="S258" s="114">
        <f t="shared" si="60"/>
        <v>0</v>
      </c>
      <c r="T258" s="114">
        <f t="shared" si="61"/>
        <v>0</v>
      </c>
      <c r="U258" s="114">
        <f t="shared" si="51"/>
        <v>70</v>
      </c>
      <c r="V258" s="114">
        <f t="shared" si="62"/>
        <v>0</v>
      </c>
    </row>
    <row r="259" spans="1:22" ht="56" x14ac:dyDescent="0.3">
      <c r="A259" s="10" t="str">
        <f>Questions!$A259</f>
        <v>PDAT-06</v>
      </c>
      <c r="B259" s="10" t="str">
        <f t="shared" si="63"/>
        <v>PDAT</v>
      </c>
      <c r="C259" s="10" t="str">
        <f>VLOOKUP($A259,Questions!$A$3:$L$333,2,0)&amp;""</f>
        <v>Does any part of this service/project involve a web/app tracking component (e.g., use of web-tracking pixels, cookies)?</v>
      </c>
      <c r="D259" s="10" t="str">
        <f>VLOOKUP($A259,Questions!$A$3:$L$333,11,0)&amp;""</f>
        <v/>
      </c>
      <c r="E259" s="10" t="str">
        <f>VLOOKUP($A259,Questions!$A$3:$L$333,12,0)&amp;""</f>
        <v>Privacy</v>
      </c>
      <c r="F259" s="10" t="str">
        <f>VLOOKUP($A259,'Privacy Analyst Evaluation'!$A$46:$K$120,3,0)&amp;""</f>
        <v>Yes</v>
      </c>
      <c r="G259" s="10" t="str">
        <f>VLOOKUP($A259,'Privacy Analyst Evaluation'!$A$46:$K$120,7,0)&amp;""</f>
        <v>No</v>
      </c>
      <c r="H259" s="10" t="str">
        <f>VLOOKUP($A259,'Privacy Analyst Evaluation'!$A$46:$K$120,8,0)&amp;""</f>
        <v/>
      </c>
      <c r="I259" s="10" t="str">
        <f>VLOOKUP($A259,'Privacy Analyst Evaluation'!$A$46:$K$120,9,0)&amp;""</f>
        <v>Minor Importance</v>
      </c>
      <c r="J259" s="10" t="str">
        <f>VLOOKUP($A259,'Privacy Analyst Evaluation'!$A$46:$K$120,10,0)&amp;""</f>
        <v/>
      </c>
      <c r="K259" s="10">
        <f t="shared" si="64"/>
        <v>5</v>
      </c>
      <c r="L259" s="114">
        <f>IF($E259="Not Scored", "N/A",IF(AND($D259='Auto Responses'!$J$27,$H259=""),"N/A",IF(AND($D259='Auto Responses'!$J$27,$H259='Auto Responses'!$J$7),1,IF(AND($D259='Auto Responses'!$J$27,$H259='Auto Responses'!$J$8),0,IF(OR($F259=$G259,$H259='Auto Responses'!$J$7),1,0)))))</f>
        <v>0</v>
      </c>
      <c r="M259" s="10" t="str">
        <f>VLOOKUP($A259,'Privacy Analyst Evaluation'!$A$46:$K$120,10,0)&amp;""</f>
        <v/>
      </c>
      <c r="N259" s="10">
        <f t="shared" si="65"/>
        <v>0</v>
      </c>
      <c r="O259" s="114">
        <f t="shared" si="58"/>
        <v>5</v>
      </c>
      <c r="P259" s="114">
        <f t="shared" si="66"/>
        <v>0</v>
      </c>
      <c r="Q259" s="114">
        <f t="shared" si="59"/>
        <v>0</v>
      </c>
      <c r="R259" s="114">
        <f t="shared" si="50"/>
        <v>0</v>
      </c>
      <c r="S259" s="114">
        <f t="shared" si="60"/>
        <v>0</v>
      </c>
      <c r="T259" s="114">
        <f t="shared" si="61"/>
        <v>0</v>
      </c>
      <c r="U259" s="114">
        <f t="shared" si="51"/>
        <v>70</v>
      </c>
      <c r="V259" s="114">
        <f t="shared" si="62"/>
        <v>0</v>
      </c>
    </row>
    <row r="260" spans="1:22" ht="56" x14ac:dyDescent="0.3">
      <c r="A260" s="10" t="str">
        <f>Questions!$A260</f>
        <v>PDAT-07</v>
      </c>
      <c r="B260" s="10" t="str">
        <f t="shared" si="63"/>
        <v>PDAT</v>
      </c>
      <c r="C260" s="10" t="str">
        <f>VLOOKUP($A260,Questions!$A$3:$L$333,2,0)&amp;""</f>
        <v>Does your staff (or a third party) have access to institutional data (e.g., financial, PHI, or other sensitive information) through any means?</v>
      </c>
      <c r="D260" s="10" t="str">
        <f>VLOOKUP($A260,Questions!$A$3:$L$333,11,0)&amp;""</f>
        <v/>
      </c>
      <c r="E260" s="10" t="str">
        <f>VLOOKUP($A260,Questions!$A$3:$L$333,12,0)&amp;""</f>
        <v>Privacy</v>
      </c>
      <c r="F260" s="10" t="str">
        <f>VLOOKUP($A260,'Privacy Analyst Evaluation'!$A$46:$K$120,3,0)&amp;""</f>
        <v>Yes</v>
      </c>
      <c r="G260" s="10" t="str">
        <f>VLOOKUP($A260,'Privacy Analyst Evaluation'!$A$46:$K$120,7,0)&amp;""</f>
        <v>No</v>
      </c>
      <c r="H260" s="10" t="str">
        <f>VLOOKUP($A260,'Privacy Analyst Evaluation'!$A$46:$K$120,8,0)&amp;""</f>
        <v/>
      </c>
      <c r="I260" s="10" t="str">
        <f>VLOOKUP($A260,'Privacy Analyst Evaluation'!$A$46:$K$120,9,0)&amp;""</f>
        <v>Minor Importance</v>
      </c>
      <c r="J260" s="10" t="str">
        <f>VLOOKUP($A260,'Privacy Analyst Evaluation'!$A$46:$K$120,10,0)&amp;""</f>
        <v/>
      </c>
      <c r="K260" s="10">
        <f t="shared" si="64"/>
        <v>5</v>
      </c>
      <c r="L260" s="114">
        <f>IF($E260="Not Scored", "N/A",IF(AND($D260='Auto Responses'!$J$27,$H260=""),"N/A",IF(AND($D260='Auto Responses'!$J$27,$H260='Auto Responses'!$J$7),1,IF(AND($D260='Auto Responses'!$J$27,$H260='Auto Responses'!$J$8),0,IF(OR($F260=$G260,$H260='Auto Responses'!$J$7),1,0)))))</f>
        <v>0</v>
      </c>
      <c r="M260" s="10" t="str">
        <f>VLOOKUP($A260,'Privacy Analyst Evaluation'!$A$46:$K$120,10,0)&amp;""</f>
        <v/>
      </c>
      <c r="N260" s="10">
        <f t="shared" si="65"/>
        <v>0</v>
      </c>
      <c r="O260" s="114">
        <f t="shared" si="58"/>
        <v>5</v>
      </c>
      <c r="P260" s="114">
        <f t="shared" si="66"/>
        <v>0</v>
      </c>
      <c r="Q260" s="114">
        <f t="shared" si="59"/>
        <v>0</v>
      </c>
      <c r="R260" s="114">
        <f t="shared" si="50"/>
        <v>0</v>
      </c>
      <c r="S260" s="114">
        <f t="shared" si="60"/>
        <v>0</v>
      </c>
      <c r="T260" s="114">
        <f t="shared" si="61"/>
        <v>0</v>
      </c>
      <c r="U260" s="114">
        <f t="shared" si="51"/>
        <v>70</v>
      </c>
      <c r="V260" s="114">
        <f t="shared" si="62"/>
        <v>0</v>
      </c>
    </row>
    <row r="261" spans="1:22" ht="56" x14ac:dyDescent="0.3">
      <c r="A261" s="10" t="str">
        <f>Questions!$A261</f>
        <v>PDAT-08</v>
      </c>
      <c r="B261" s="10" t="str">
        <f t="shared" si="63"/>
        <v>PDAT</v>
      </c>
      <c r="C261" s="10" t="str">
        <f>VLOOKUP($A261,Questions!$A$3:$L$333,2,0)&amp;""</f>
        <v>Will you handle personal data in a manner compliant with all relevant laws, regulations, and applicable institution policies?</v>
      </c>
      <c r="D261" s="10" t="str">
        <f>VLOOKUP($A261,Questions!$A$3:$L$333,11,0)&amp;""</f>
        <v/>
      </c>
      <c r="E261" s="10" t="str">
        <f>VLOOKUP($A261,Questions!$A$3:$L$333,12,0)&amp;""</f>
        <v>Privacy</v>
      </c>
      <c r="F261" s="10" t="str">
        <f>VLOOKUP($A261,'Privacy Analyst Evaluation'!$A$46:$K$120,3,0)&amp;""</f>
        <v>Yes</v>
      </c>
      <c r="G261" s="10" t="str">
        <f>VLOOKUP($A261,'Privacy Analyst Evaluation'!$A$46:$K$120,7,0)&amp;""</f>
        <v>Yes</v>
      </c>
      <c r="H261" s="10" t="str">
        <f>VLOOKUP($A261,'Privacy Analyst Evaluation'!$A$46:$K$120,8,0)&amp;""</f>
        <v/>
      </c>
      <c r="I261" s="10" t="str">
        <f>VLOOKUP($A261,'Privacy Analyst Evaluation'!$A$46:$K$120,9,0)&amp;""</f>
        <v>Minor Importance</v>
      </c>
      <c r="J261" s="10" t="str">
        <f>VLOOKUP($A261,'Privacy Analyst Evaluation'!$A$46:$K$120,10,0)&amp;""</f>
        <v/>
      </c>
      <c r="K261" s="10">
        <f t="shared" si="64"/>
        <v>5</v>
      </c>
      <c r="L261" s="114">
        <f>IF($E261="Not Scored", "N/A",IF(AND($D261='Auto Responses'!$J$27,$H261=""),"N/A",IF(AND($D261='Auto Responses'!$J$27,$H261='Auto Responses'!$J$7),1,IF(AND($D261='Auto Responses'!$J$27,$H261='Auto Responses'!$J$8),0,IF(OR($F261=$G261,$H261='Auto Responses'!$J$7),1,0)))))</f>
        <v>1</v>
      </c>
      <c r="M261" s="10" t="str">
        <f>VLOOKUP($A261,'Privacy Analyst Evaluation'!$A$46:$K$120,10,0)&amp;""</f>
        <v/>
      </c>
      <c r="N261" s="10">
        <f t="shared" si="65"/>
        <v>0</v>
      </c>
      <c r="O261" s="114">
        <f t="shared" si="58"/>
        <v>5</v>
      </c>
      <c r="P261" s="114">
        <f t="shared" si="66"/>
        <v>5</v>
      </c>
      <c r="Q261" s="114">
        <f t="shared" si="59"/>
        <v>0</v>
      </c>
      <c r="R261" s="114">
        <f t="shared" ref="R261:R324" si="67">R260+Q261</f>
        <v>0</v>
      </c>
      <c r="S261" s="114">
        <f t="shared" si="60"/>
        <v>0</v>
      </c>
      <c r="T261" s="114">
        <f t="shared" si="61"/>
        <v>0</v>
      </c>
      <c r="U261" s="114">
        <f t="shared" ref="U261:U324" si="68">U260+T261</f>
        <v>70</v>
      </c>
      <c r="V261" s="114">
        <f t="shared" si="62"/>
        <v>0</v>
      </c>
    </row>
    <row r="262" spans="1:22" ht="56" x14ac:dyDescent="0.3">
      <c r="A262" s="10" t="str">
        <f>Questions!$A262</f>
        <v>PRPO-01</v>
      </c>
      <c r="B262" s="10" t="str">
        <f t="shared" si="63"/>
        <v>PRPO</v>
      </c>
      <c r="C262" s="10" t="str">
        <f>VLOOKUP($A262,Questions!$A$3:$L$333,2,0)&amp;""</f>
        <v>Do you have a documented privacy management process?</v>
      </c>
      <c r="D262" s="10" t="str">
        <f>VLOOKUP($A262,Questions!$A$3:$L$333,11,0)&amp;""</f>
        <v/>
      </c>
      <c r="E262" s="10" t="str">
        <f>VLOOKUP($A262,Questions!$A$3:$L$333,12,0)&amp;""</f>
        <v>Privacy</v>
      </c>
      <c r="F262" s="10" t="str">
        <f>VLOOKUP($A262,'Privacy Analyst Evaluation'!$A$46:$K$120,3,0)&amp;""</f>
        <v>Yes</v>
      </c>
      <c r="G262" s="10" t="str">
        <f>VLOOKUP($A262,'Privacy Analyst Evaluation'!$A$46:$K$120,7,0)&amp;""</f>
        <v>Yes</v>
      </c>
      <c r="H262" s="10" t="str">
        <f>VLOOKUP($A262,'Privacy Analyst Evaluation'!$A$46:$K$120,8,0)&amp;""</f>
        <v/>
      </c>
      <c r="I262" s="10" t="str">
        <f>VLOOKUP($A262,'Privacy Analyst Evaluation'!$A$46:$K$120,9,0)&amp;""</f>
        <v>Minor Importance</v>
      </c>
      <c r="J262" s="10" t="str">
        <f>VLOOKUP($A262,'Privacy Analyst Evaluation'!$A$46:$K$120,10,0)&amp;""</f>
        <v/>
      </c>
      <c r="K262" s="10">
        <f t="shared" si="64"/>
        <v>5</v>
      </c>
      <c r="L262" s="114">
        <f>IF($E262="Not Scored", "N/A",IF(AND($D262='Auto Responses'!$J$27,$H262=""),"N/A",IF(AND($D262='Auto Responses'!$J$27,$H262='Auto Responses'!$J$7),1,IF(AND($D262='Auto Responses'!$J$27,$H262='Auto Responses'!$J$8),0,IF(OR($F262=$G262,$H262='Auto Responses'!$J$7),1,0)))))</f>
        <v>1</v>
      </c>
      <c r="M262" s="10" t="str">
        <f>VLOOKUP($A262,'Privacy Analyst Evaluation'!$A$46:$K$120,10,0)&amp;""</f>
        <v/>
      </c>
      <c r="N262" s="10">
        <f t="shared" si="65"/>
        <v>0</v>
      </c>
      <c r="O262" s="114">
        <f t="shared" si="58"/>
        <v>5</v>
      </c>
      <c r="P262" s="114">
        <f t="shared" si="66"/>
        <v>5</v>
      </c>
      <c r="Q262" s="114">
        <f t="shared" si="59"/>
        <v>0</v>
      </c>
      <c r="R262" s="114">
        <f t="shared" si="67"/>
        <v>0</v>
      </c>
      <c r="S262" s="114">
        <f t="shared" si="60"/>
        <v>0</v>
      </c>
      <c r="T262" s="114">
        <f t="shared" si="61"/>
        <v>0</v>
      </c>
      <c r="U262" s="114">
        <f t="shared" si="68"/>
        <v>70</v>
      </c>
      <c r="V262" s="114">
        <f t="shared" si="62"/>
        <v>0</v>
      </c>
    </row>
    <row r="263" spans="1:22" ht="56" x14ac:dyDescent="0.3">
      <c r="A263" s="10" t="str">
        <f>Questions!$A263</f>
        <v>PRPO-02</v>
      </c>
      <c r="B263" s="10" t="str">
        <f t="shared" si="63"/>
        <v>PRPO</v>
      </c>
      <c r="C263" s="10" t="str">
        <f>VLOOKUP($A263,Questions!$A$3:$L$333,2,0)&amp;""</f>
        <v>Are privacy principles designed into the product lifecycle (i.e., privacy-by-design)?</v>
      </c>
      <c r="D263" s="10" t="str">
        <f>VLOOKUP($A263,Questions!$A$3:$L$333,11,0)&amp;""</f>
        <v/>
      </c>
      <c r="E263" s="10" t="str">
        <f>VLOOKUP($A263,Questions!$A$3:$L$333,12,0)&amp;""</f>
        <v>Privacy</v>
      </c>
      <c r="F263" s="10" t="str">
        <f>VLOOKUP($A263,'Privacy Analyst Evaluation'!$A$46:$K$120,3,0)&amp;""</f>
        <v>Yes</v>
      </c>
      <c r="G263" s="10" t="str">
        <f>VLOOKUP($A263,'Privacy Analyst Evaluation'!$A$46:$K$120,7,0)&amp;""</f>
        <v>Yes</v>
      </c>
      <c r="H263" s="10" t="str">
        <f>VLOOKUP($A263,'Privacy Analyst Evaluation'!$A$46:$K$120,8,0)&amp;""</f>
        <v/>
      </c>
      <c r="I263" s="10" t="str">
        <f>VLOOKUP($A263,'Privacy Analyst Evaluation'!$A$46:$K$120,9,0)&amp;""</f>
        <v>Minor Importance</v>
      </c>
      <c r="J263" s="10" t="str">
        <f>VLOOKUP($A263,'Privacy Analyst Evaluation'!$A$46:$K$120,10,0)&amp;""</f>
        <v/>
      </c>
      <c r="K263" s="10">
        <f t="shared" si="64"/>
        <v>5</v>
      </c>
      <c r="L263" s="114">
        <f>IF($E263="Not Scored", "N/A",IF(AND($D263='Auto Responses'!$J$27,$H263=""),"N/A",IF(AND($D263='Auto Responses'!$J$27,$H263='Auto Responses'!$J$7),1,IF(AND($D263='Auto Responses'!$J$27,$H263='Auto Responses'!$J$8),0,IF(OR($F263=$G263,$H263='Auto Responses'!$J$7),1,0)))))</f>
        <v>1</v>
      </c>
      <c r="M263" s="10" t="str">
        <f>VLOOKUP($A263,'Privacy Analyst Evaluation'!$A$46:$K$120,10,0)&amp;""</f>
        <v/>
      </c>
      <c r="N263" s="10">
        <f t="shared" si="65"/>
        <v>0</v>
      </c>
      <c r="O263" s="114">
        <f t="shared" si="58"/>
        <v>5</v>
      </c>
      <c r="P263" s="114">
        <f t="shared" si="66"/>
        <v>5</v>
      </c>
      <c r="Q263" s="114">
        <f t="shared" si="59"/>
        <v>0</v>
      </c>
      <c r="R263" s="114">
        <f t="shared" si="67"/>
        <v>0</v>
      </c>
      <c r="S263" s="114">
        <f t="shared" si="60"/>
        <v>0</v>
      </c>
      <c r="T263" s="114">
        <f t="shared" si="61"/>
        <v>0</v>
      </c>
      <c r="U263" s="114">
        <f t="shared" si="68"/>
        <v>70</v>
      </c>
      <c r="V263" s="114">
        <f t="shared" si="62"/>
        <v>0</v>
      </c>
    </row>
    <row r="264" spans="1:22" ht="56" x14ac:dyDescent="0.3">
      <c r="A264" s="10" t="str">
        <f>Questions!$A264</f>
        <v>PRPO-03</v>
      </c>
      <c r="B264" s="10" t="str">
        <f t="shared" si="63"/>
        <v>PRPO</v>
      </c>
      <c r="C264" s="10" t="str">
        <f>VLOOKUP($A264,Questions!$A$3:$L$333,2,0)&amp;""</f>
        <v>Will you comply with applicable breach notification laws?</v>
      </c>
      <c r="D264" s="10" t="str">
        <f>VLOOKUP($A264,Questions!$A$3:$L$333,11,0)&amp;""</f>
        <v/>
      </c>
      <c r="E264" s="10" t="str">
        <f>VLOOKUP($A264,Questions!$A$3:$L$333,12,0)&amp;""</f>
        <v>Privacy</v>
      </c>
      <c r="F264" s="10" t="str">
        <f>VLOOKUP($A264,'Privacy Analyst Evaluation'!$A$46:$K$120,3,0)&amp;""</f>
        <v>Yes</v>
      </c>
      <c r="G264" s="10" t="str">
        <f>VLOOKUP($A264,'Privacy Analyst Evaluation'!$A$46:$K$120,7,0)&amp;""</f>
        <v>Yes</v>
      </c>
      <c r="H264" s="10" t="str">
        <f>VLOOKUP($A264,'Privacy Analyst Evaluation'!$A$46:$K$120,8,0)&amp;""</f>
        <v/>
      </c>
      <c r="I264" s="10" t="str">
        <f>VLOOKUP($A264,'Privacy Analyst Evaluation'!$A$46:$K$120,9,0)&amp;""</f>
        <v>Standard Importance</v>
      </c>
      <c r="J264" s="10" t="str">
        <f>VLOOKUP($A264,'Privacy Analyst Evaluation'!$A$46:$K$120,10,0)&amp;""</f>
        <v/>
      </c>
      <c r="K264" s="10">
        <f t="shared" si="64"/>
        <v>10</v>
      </c>
      <c r="L264" s="114">
        <f>IF($E264="Not Scored", "N/A",IF(AND($D264='Auto Responses'!$J$27,$H264=""),"N/A",IF(AND($D264='Auto Responses'!$J$27,$H264='Auto Responses'!$J$7),1,IF(AND($D264='Auto Responses'!$J$27,$H264='Auto Responses'!$J$8),0,IF(OR($F264=$G264,$H264='Auto Responses'!$J$7),1,0)))))</f>
        <v>1</v>
      </c>
      <c r="M264" s="10" t="str">
        <f>VLOOKUP($A264,'Privacy Analyst Evaluation'!$A$46:$K$120,10,0)&amp;""</f>
        <v/>
      </c>
      <c r="N264" s="10">
        <f t="shared" si="65"/>
        <v>0</v>
      </c>
      <c r="O264" s="114">
        <f t="shared" si="58"/>
        <v>10</v>
      </c>
      <c r="P264" s="114">
        <f t="shared" si="66"/>
        <v>10</v>
      </c>
      <c r="Q264" s="114">
        <f t="shared" si="59"/>
        <v>0</v>
      </c>
      <c r="R264" s="114">
        <f t="shared" si="67"/>
        <v>0</v>
      </c>
      <c r="S264" s="114">
        <f t="shared" si="60"/>
        <v>0</v>
      </c>
      <c r="T264" s="114">
        <f t="shared" si="61"/>
        <v>0</v>
      </c>
      <c r="U264" s="114">
        <f t="shared" si="68"/>
        <v>70</v>
      </c>
      <c r="V264" s="114">
        <f t="shared" si="62"/>
        <v>0</v>
      </c>
    </row>
    <row r="265" spans="1:22" ht="56" x14ac:dyDescent="0.3">
      <c r="A265" s="10" t="str">
        <f>Questions!$A265</f>
        <v>PRPO-04</v>
      </c>
      <c r="B265" s="10" t="str">
        <f t="shared" si="63"/>
        <v>PRPO</v>
      </c>
      <c r="C265" s="10" t="str">
        <f>VLOOKUP($A265,Questions!$A$3:$L$333,2,0)&amp;""</f>
        <v>Will you comply with the institution's policies regarding user privacy and data protection?</v>
      </c>
      <c r="D265" s="10" t="str">
        <f>VLOOKUP($A265,Questions!$A$3:$L$333,11,0)&amp;""</f>
        <v/>
      </c>
      <c r="E265" s="10" t="str">
        <f>VLOOKUP($A265,Questions!$A$3:$L$333,12,0)&amp;""</f>
        <v>Privacy</v>
      </c>
      <c r="F265" s="10" t="str">
        <f>VLOOKUP($A265,'Privacy Analyst Evaluation'!$A$46:$K$120,3,0)&amp;""</f>
        <v>Yes</v>
      </c>
      <c r="G265" s="10" t="str">
        <f>VLOOKUP($A265,'Privacy Analyst Evaluation'!$A$46:$K$120,7,0)&amp;""</f>
        <v>Yes</v>
      </c>
      <c r="H265" s="10" t="str">
        <f>VLOOKUP($A265,'Privacy Analyst Evaluation'!$A$46:$K$120,8,0)&amp;""</f>
        <v/>
      </c>
      <c r="I265" s="10" t="str">
        <f>VLOOKUP($A265,'Privacy Analyst Evaluation'!$A$46:$K$120,9,0)&amp;""</f>
        <v>Minor Importance</v>
      </c>
      <c r="J265" s="10" t="str">
        <f>VLOOKUP($A265,'Privacy Analyst Evaluation'!$A$46:$K$120,10,0)&amp;""</f>
        <v/>
      </c>
      <c r="K265" s="10">
        <f t="shared" si="64"/>
        <v>5</v>
      </c>
      <c r="L265" s="114">
        <f>IF($E265="Not Scored", "N/A",IF(AND($D265='Auto Responses'!$J$27,$H265=""),"N/A",IF(AND($D265='Auto Responses'!$J$27,$H265='Auto Responses'!$J$7),1,IF(AND($D265='Auto Responses'!$J$27,$H265='Auto Responses'!$J$8),0,IF(OR($F265=$G265,$H265='Auto Responses'!$J$7),1,0)))))</f>
        <v>1</v>
      </c>
      <c r="M265" s="10" t="str">
        <f>VLOOKUP($A265,'Privacy Analyst Evaluation'!$A$46:$K$120,10,0)&amp;""</f>
        <v/>
      </c>
      <c r="N265" s="10">
        <f t="shared" si="65"/>
        <v>0</v>
      </c>
      <c r="O265" s="114">
        <f t="shared" si="58"/>
        <v>5</v>
      </c>
      <c r="P265" s="114">
        <f t="shared" si="66"/>
        <v>5</v>
      </c>
      <c r="Q265" s="114">
        <f t="shared" si="59"/>
        <v>0</v>
      </c>
      <c r="R265" s="114">
        <f t="shared" si="67"/>
        <v>0</v>
      </c>
      <c r="S265" s="114">
        <f t="shared" si="60"/>
        <v>0</v>
      </c>
      <c r="T265" s="114">
        <f t="shared" si="61"/>
        <v>0</v>
      </c>
      <c r="U265" s="114">
        <f t="shared" si="68"/>
        <v>70</v>
      </c>
      <c r="V265" s="114">
        <f t="shared" si="62"/>
        <v>0</v>
      </c>
    </row>
    <row r="266" spans="1:22" ht="56" x14ac:dyDescent="0.3">
      <c r="A266" s="10" t="str">
        <f>Questions!$A266</f>
        <v>PRPO-05</v>
      </c>
      <c r="B266" s="10" t="str">
        <f t="shared" si="63"/>
        <v>PRPO</v>
      </c>
      <c r="C266" s="10" t="str">
        <f>VLOOKUP($A266,Questions!$A$3:$L$333,2,0)&amp;""</f>
        <v>Is your company subject to the laws and regulations of the institution's geographic region?</v>
      </c>
      <c r="D266" s="10" t="str">
        <f>VLOOKUP($A266,Questions!$A$3:$L$333,11,0)&amp;""</f>
        <v/>
      </c>
      <c r="E266" s="10" t="str">
        <f>VLOOKUP($A266,Questions!$A$3:$L$333,12,0)&amp;""</f>
        <v>Privacy</v>
      </c>
      <c r="F266" s="10" t="str">
        <f>VLOOKUP($A266,'Privacy Analyst Evaluation'!$A$46:$K$120,3,0)&amp;""</f>
        <v>Yes</v>
      </c>
      <c r="G266" s="10" t="str">
        <f>VLOOKUP($A266,'Privacy Analyst Evaluation'!$A$46:$K$120,7,0)&amp;""</f>
        <v>Yes</v>
      </c>
      <c r="H266" s="10" t="str">
        <f>VLOOKUP($A266,'Privacy Analyst Evaluation'!$A$46:$K$120,8,0)&amp;""</f>
        <v/>
      </c>
      <c r="I266" s="10" t="str">
        <f>VLOOKUP($A266,'Privacy Analyst Evaluation'!$A$46:$K$120,9,0)&amp;""</f>
        <v>Minor Importance</v>
      </c>
      <c r="J266" s="10" t="str">
        <f>VLOOKUP($A266,'Privacy Analyst Evaluation'!$A$46:$K$120,10,0)&amp;""</f>
        <v/>
      </c>
      <c r="K266" s="10">
        <f t="shared" si="64"/>
        <v>5</v>
      </c>
      <c r="L266" s="114">
        <f>IF($E266="Not Scored", "N/A",IF(AND($D266='Auto Responses'!$J$27,$H266=""),"N/A",IF(AND($D266='Auto Responses'!$J$27,$H266='Auto Responses'!$J$7),1,IF(AND($D266='Auto Responses'!$J$27,$H266='Auto Responses'!$J$8),0,IF(OR($F266=$G266,$H266='Auto Responses'!$J$7),1,0)))))</f>
        <v>1</v>
      </c>
      <c r="M266" s="10" t="str">
        <f>VLOOKUP($A266,'Privacy Analyst Evaluation'!$A$46:$K$120,10,0)&amp;""</f>
        <v/>
      </c>
      <c r="N266" s="10">
        <f t="shared" si="65"/>
        <v>0</v>
      </c>
      <c r="O266" s="114">
        <f t="shared" si="58"/>
        <v>5</v>
      </c>
      <c r="P266" s="114">
        <f t="shared" si="66"/>
        <v>5</v>
      </c>
      <c r="Q266" s="114">
        <f t="shared" si="59"/>
        <v>0</v>
      </c>
      <c r="R266" s="114">
        <f t="shared" si="67"/>
        <v>0</v>
      </c>
      <c r="S266" s="114">
        <f t="shared" si="60"/>
        <v>0</v>
      </c>
      <c r="T266" s="114">
        <f t="shared" si="61"/>
        <v>0</v>
      </c>
      <c r="U266" s="114">
        <f t="shared" si="68"/>
        <v>70</v>
      </c>
      <c r="V266" s="114">
        <f t="shared" si="62"/>
        <v>0</v>
      </c>
    </row>
    <row r="267" spans="1:22" ht="56" x14ac:dyDescent="0.3">
      <c r="A267" s="10" t="str">
        <f>Questions!$A267</f>
        <v>PRPO-06</v>
      </c>
      <c r="B267" s="10" t="str">
        <f t="shared" si="63"/>
        <v>PRPO</v>
      </c>
      <c r="C267" s="10" t="str">
        <f>VLOOKUP($A267,Questions!$A$3:$L$333,2,0)&amp;""</f>
        <v>Do you have a privacy awareness/training program?*</v>
      </c>
      <c r="D267" s="10" t="str">
        <f>VLOOKUP($A267,Questions!$A$3:$L$333,11,0)&amp;""</f>
        <v/>
      </c>
      <c r="E267" s="10" t="str">
        <f>VLOOKUP($A267,Questions!$A$3:$L$333,12,0)&amp;""</f>
        <v>Privacy</v>
      </c>
      <c r="F267" s="10" t="str">
        <f>VLOOKUP($A267,'Privacy Analyst Evaluation'!$A$46:$K$120,3,0)&amp;""</f>
        <v>Yes</v>
      </c>
      <c r="G267" s="10" t="str">
        <f>VLOOKUP($A267,'Privacy Analyst Evaluation'!$A$46:$K$120,7,0)&amp;""</f>
        <v>Yes</v>
      </c>
      <c r="H267" s="10" t="str">
        <f>VLOOKUP($A267,'Privacy Analyst Evaluation'!$A$46:$K$120,8,0)&amp;""</f>
        <v/>
      </c>
      <c r="I267" s="10" t="str">
        <f>VLOOKUP($A267,'Privacy Analyst Evaluation'!$A$46:$K$120,9,0)&amp;""</f>
        <v>Critical Importance</v>
      </c>
      <c r="J267" s="10" t="str">
        <f>VLOOKUP($A267,'Privacy Analyst Evaluation'!$A$46:$K$120,10,0)&amp;""</f>
        <v/>
      </c>
      <c r="K267" s="10">
        <f t="shared" si="64"/>
        <v>20</v>
      </c>
      <c r="L267" s="114">
        <f>IF($E267="Not Scored", "N/A",IF(AND($D267='Auto Responses'!$J$27,$H267=""),"N/A",IF(AND($D267='Auto Responses'!$J$27,$H267='Auto Responses'!$J$7),1,IF(AND($D267='Auto Responses'!$J$27,$H267='Auto Responses'!$J$8),0,IF(OR($F267=$G267,$H267='Auto Responses'!$J$7),1,0)))))</f>
        <v>1</v>
      </c>
      <c r="M267" s="10" t="str">
        <f>VLOOKUP($A267,'Privacy Analyst Evaluation'!$A$46:$K$120,10,0)&amp;""</f>
        <v/>
      </c>
      <c r="N267" s="10">
        <f t="shared" si="65"/>
        <v>1</v>
      </c>
      <c r="O267" s="114">
        <f t="shared" si="58"/>
        <v>20</v>
      </c>
      <c r="P267" s="114">
        <f t="shared" si="66"/>
        <v>20</v>
      </c>
      <c r="Q267" s="114">
        <f t="shared" si="59"/>
        <v>0</v>
      </c>
      <c r="R267" s="114">
        <f t="shared" si="67"/>
        <v>0</v>
      </c>
      <c r="S267" s="114">
        <f t="shared" si="60"/>
        <v>0</v>
      </c>
      <c r="T267" s="114">
        <f t="shared" si="61"/>
        <v>1</v>
      </c>
      <c r="U267" s="114">
        <f t="shared" si="68"/>
        <v>71</v>
      </c>
      <c r="V267" s="114">
        <f t="shared" si="62"/>
        <v>71</v>
      </c>
    </row>
    <row r="268" spans="1:22" ht="56" x14ac:dyDescent="0.3">
      <c r="A268" s="10" t="str">
        <f>Questions!$A268</f>
        <v>PRPO-07</v>
      </c>
      <c r="B268" s="10" t="str">
        <f t="shared" si="63"/>
        <v>PRPO</v>
      </c>
      <c r="C268" s="10" t="str">
        <f>VLOOKUP($A268,Questions!$A$3:$L$333,2,0)&amp;""</f>
        <v>Is privacy awareness training mandatory for all employees?</v>
      </c>
      <c r="D268" s="10" t="str">
        <f>VLOOKUP($A268,Questions!$A$3:$L$333,11,0)&amp;""</f>
        <v/>
      </c>
      <c r="E268" s="10" t="str">
        <f>VLOOKUP($A268,Questions!$A$3:$L$333,12,0)&amp;""</f>
        <v>Privacy</v>
      </c>
      <c r="F268" s="10" t="str">
        <f>VLOOKUP($A268,'Privacy Analyst Evaluation'!$A$46:$K$120,3,0)&amp;""</f>
        <v>Yes</v>
      </c>
      <c r="G268" s="10" t="str">
        <f>VLOOKUP($A268,'Privacy Analyst Evaluation'!$A$46:$K$120,7,0)&amp;""</f>
        <v>Yes</v>
      </c>
      <c r="H268" s="10" t="str">
        <f>VLOOKUP($A268,'Privacy Analyst Evaluation'!$A$46:$K$120,8,0)&amp;""</f>
        <v/>
      </c>
      <c r="I268" s="10" t="str">
        <f>VLOOKUP($A268,'Privacy Analyst Evaluation'!$A$46:$K$120,9,0)&amp;""</f>
        <v>Minor Importance</v>
      </c>
      <c r="J268" s="10" t="str">
        <f>VLOOKUP($A268,'Privacy Analyst Evaluation'!$A$46:$K$120,10,0)&amp;""</f>
        <v/>
      </c>
      <c r="K268" s="10">
        <f t="shared" si="64"/>
        <v>5</v>
      </c>
      <c r="L268" s="114">
        <f>IF($E268="Not Scored", "N/A",IF(AND($D268='Auto Responses'!$J$27,$H268=""),"N/A",IF(AND($D268='Auto Responses'!$J$27,$H268='Auto Responses'!$J$7),1,IF(AND($D268='Auto Responses'!$J$27,$H268='Auto Responses'!$J$8),0,IF(OR($F268=$G268,$H268='Auto Responses'!$J$7),1,0)))))</f>
        <v>1</v>
      </c>
      <c r="M268" s="10" t="str">
        <f>VLOOKUP($A268,'Privacy Analyst Evaluation'!$A$46:$K$120,10,0)&amp;""</f>
        <v/>
      </c>
      <c r="N268" s="10">
        <f t="shared" si="65"/>
        <v>0</v>
      </c>
      <c r="O268" s="114">
        <f t="shared" si="58"/>
        <v>5</v>
      </c>
      <c r="P268" s="114">
        <f t="shared" si="66"/>
        <v>5</v>
      </c>
      <c r="Q268" s="114">
        <f t="shared" si="59"/>
        <v>0</v>
      </c>
      <c r="R268" s="114">
        <f t="shared" si="67"/>
        <v>0</v>
      </c>
      <c r="S268" s="114">
        <f t="shared" si="60"/>
        <v>0</v>
      </c>
      <c r="T268" s="114">
        <f t="shared" si="61"/>
        <v>0</v>
      </c>
      <c r="U268" s="114">
        <f t="shared" si="68"/>
        <v>71</v>
      </c>
      <c r="V268" s="114">
        <f t="shared" si="62"/>
        <v>0</v>
      </c>
    </row>
    <row r="269" spans="1:22" ht="56" x14ac:dyDescent="0.3">
      <c r="A269" s="10" t="str">
        <f>Questions!$A269</f>
        <v>PRPO-08</v>
      </c>
      <c r="B269" s="10" t="str">
        <f t="shared" si="63"/>
        <v>PRPO</v>
      </c>
      <c r="C269" s="10" t="str">
        <f>VLOOKUP($A269,Questions!$A$3:$L$333,2,0)&amp;""</f>
        <v>Is AI privacy and ethics awareness/training required for all employees who work with AI?</v>
      </c>
      <c r="D269" s="10" t="str">
        <f>VLOOKUP($A269,Questions!$A$3:$L$333,11,0)&amp;""</f>
        <v/>
      </c>
      <c r="E269" s="10" t="str">
        <f>VLOOKUP($A269,Questions!$A$3:$L$333,12,0)&amp;""</f>
        <v>Privacy</v>
      </c>
      <c r="F269" s="10" t="str">
        <f>VLOOKUP($A269,'Privacy Analyst Evaluation'!$A$46:$K$120,3,0)&amp;""</f>
        <v>No</v>
      </c>
      <c r="G269" s="10" t="str">
        <f>VLOOKUP($A269,'Privacy Analyst Evaluation'!$A$46:$K$120,7,0)&amp;""</f>
        <v>Yes</v>
      </c>
      <c r="H269" s="10" t="str">
        <f>VLOOKUP($A269,'Privacy Analyst Evaluation'!$A$46:$K$120,8,0)&amp;""</f>
        <v/>
      </c>
      <c r="I269" s="10" t="str">
        <f>VLOOKUP($A269,'Privacy Analyst Evaluation'!$A$46:$K$120,9,0)&amp;""</f>
        <v>Minor Importance</v>
      </c>
      <c r="J269" s="10" t="str">
        <f>VLOOKUP($A269,'Privacy Analyst Evaluation'!$A$46:$K$120,10,0)&amp;""</f>
        <v/>
      </c>
      <c r="K269" s="10">
        <f t="shared" si="64"/>
        <v>5</v>
      </c>
      <c r="L269" s="114">
        <f>IF($E269="Not Scored", "N/A",IF(AND($D269='Auto Responses'!$J$27,$H269=""),"N/A",IF(AND($D269='Auto Responses'!$J$27,$H269='Auto Responses'!$J$7),1,IF(AND($D269='Auto Responses'!$J$27,$H269='Auto Responses'!$J$8),0,IF(OR($F269=$G269,$H269='Auto Responses'!$J$7),1,0)))))</f>
        <v>0</v>
      </c>
      <c r="M269" s="10" t="str">
        <f>VLOOKUP($A269,'Privacy Analyst Evaluation'!$A$46:$K$120,10,0)&amp;""</f>
        <v/>
      </c>
      <c r="N269" s="10">
        <f t="shared" si="65"/>
        <v>0</v>
      </c>
      <c r="O269" s="114">
        <f>IF(OR($E269="Not Scored",$F269="N/A",$F$24="No"),"N/A",IF($J269="",$K269,IF($J269="Minor Importance",5,IF($J269="Standard Importance",10,IF($J269="Critical Importance",20,0)))))</f>
        <v>5</v>
      </c>
      <c r="P269" s="114">
        <f t="shared" si="66"/>
        <v>0</v>
      </c>
      <c r="Q269" s="114">
        <f t="shared" si="59"/>
        <v>0</v>
      </c>
      <c r="R269" s="114">
        <f t="shared" si="67"/>
        <v>0</v>
      </c>
      <c r="S269" s="114">
        <f t="shared" si="60"/>
        <v>0</v>
      </c>
      <c r="T269" s="114">
        <f t="shared" si="61"/>
        <v>0</v>
      </c>
      <c r="U269" s="114">
        <f t="shared" si="68"/>
        <v>71</v>
      </c>
      <c r="V269" s="114">
        <f t="shared" si="62"/>
        <v>0</v>
      </c>
    </row>
    <row r="270" spans="1:22" ht="56" x14ac:dyDescent="0.3">
      <c r="A270" s="10" t="str">
        <f>Questions!$A270</f>
        <v>PRPO-09</v>
      </c>
      <c r="B270" s="10" t="str">
        <f t="shared" si="63"/>
        <v>PRPO</v>
      </c>
      <c r="C270" s="10" t="str">
        <f>VLOOKUP($A270,Questions!$A$3:$L$333,2,0)&amp;""</f>
        <v>Do you have any decision-making processes that are completely automated (i.e., there is no human involvement)?</v>
      </c>
      <c r="D270" s="10" t="str">
        <f>VLOOKUP($A270,Questions!$A$3:$L$333,11,0)&amp;""</f>
        <v/>
      </c>
      <c r="E270" s="10" t="str">
        <f>VLOOKUP($A270,Questions!$A$3:$L$333,12,0)&amp;""</f>
        <v>Privacy</v>
      </c>
      <c r="F270" s="10" t="str">
        <f>VLOOKUP($A270,'Privacy Analyst Evaluation'!$A$46:$K$120,3,0)&amp;""</f>
        <v>No</v>
      </c>
      <c r="G270" s="10" t="str">
        <f>VLOOKUP($A270,'Privacy Analyst Evaluation'!$A$46:$K$120,7,0)&amp;""</f>
        <v>No</v>
      </c>
      <c r="H270" s="10" t="str">
        <f>VLOOKUP($A270,'Privacy Analyst Evaluation'!$A$46:$K$120,8,0)&amp;""</f>
        <v/>
      </c>
      <c r="I270" s="10" t="str">
        <f>VLOOKUP($A270,'Privacy Analyst Evaluation'!$A$46:$K$120,9,0)&amp;""</f>
        <v>Minor Importance</v>
      </c>
      <c r="J270" s="10" t="str">
        <f>VLOOKUP($A270,'Privacy Analyst Evaluation'!$A$46:$K$120,10,0)&amp;""</f>
        <v/>
      </c>
      <c r="K270" s="10">
        <f t="shared" si="64"/>
        <v>5</v>
      </c>
      <c r="L270" s="114">
        <f>IF($E270="Not Scored", "N/A",IF(AND($D270='Auto Responses'!$J$27,$H270=""),"N/A",IF(AND($D270='Auto Responses'!$J$27,$H270='Auto Responses'!$J$7),1,IF(AND($D270='Auto Responses'!$J$27,$H270='Auto Responses'!$J$8),0,IF(OR($F270=$G270,$H270='Auto Responses'!$J$7),1,0)))))</f>
        <v>1</v>
      </c>
      <c r="M270" s="10" t="str">
        <f>VLOOKUP($A270,'Privacy Analyst Evaluation'!$A$46:$K$120,10,0)&amp;""</f>
        <v/>
      </c>
      <c r="N270" s="10">
        <f t="shared" si="65"/>
        <v>0</v>
      </c>
      <c r="O270" s="114">
        <f t="shared" si="58"/>
        <v>5</v>
      </c>
      <c r="P270" s="114">
        <f t="shared" si="66"/>
        <v>5</v>
      </c>
      <c r="Q270" s="114">
        <f t="shared" si="59"/>
        <v>0</v>
      </c>
      <c r="R270" s="114">
        <f t="shared" si="67"/>
        <v>0</v>
      </c>
      <c r="S270" s="114">
        <f t="shared" si="60"/>
        <v>0</v>
      </c>
      <c r="T270" s="114">
        <f t="shared" si="61"/>
        <v>0</v>
      </c>
      <c r="U270" s="114">
        <f t="shared" si="68"/>
        <v>71</v>
      </c>
      <c r="V270" s="114">
        <f t="shared" si="62"/>
        <v>0</v>
      </c>
    </row>
    <row r="271" spans="1:22" ht="56" x14ac:dyDescent="0.3">
      <c r="A271" s="10" t="str">
        <f>Questions!$A271</f>
        <v>PRPO-10</v>
      </c>
      <c r="B271" s="10" t="str">
        <f t="shared" si="63"/>
        <v>PRPO</v>
      </c>
      <c r="C271" s="10" t="str">
        <f>VLOOKUP($A271,Questions!$A$3:$L$333,2,0)&amp;""</f>
        <v>Do you have a documented process for managing automated processing, including validations, monitoring, and data subject requests?</v>
      </c>
      <c r="D271" s="10" t="str">
        <f>VLOOKUP($A271,Questions!$A$3:$L$333,11,0)&amp;""</f>
        <v/>
      </c>
      <c r="E271" s="10" t="str">
        <f>VLOOKUP($A271,Questions!$A$3:$L$333,12,0)&amp;""</f>
        <v>Privacy</v>
      </c>
      <c r="F271" s="10" t="str">
        <f>VLOOKUP($A271,'Privacy Analyst Evaluation'!$A$46:$K$120,3,0)&amp;""</f>
        <v>No</v>
      </c>
      <c r="G271" s="10" t="str">
        <f>VLOOKUP($A271,'Privacy Analyst Evaluation'!$A$46:$K$120,7,0)&amp;""</f>
        <v>Yes</v>
      </c>
      <c r="H271" s="10" t="str">
        <f>VLOOKUP($A271,'Privacy Analyst Evaluation'!$A$46:$K$120,8,0)&amp;""</f>
        <v/>
      </c>
      <c r="I271" s="10" t="str">
        <f>VLOOKUP($A271,'Privacy Analyst Evaluation'!$A$46:$K$120,9,0)&amp;""</f>
        <v>Minor Importance</v>
      </c>
      <c r="J271" s="10" t="str">
        <f>VLOOKUP($A271,'Privacy Analyst Evaluation'!$A$46:$K$120,10,0)&amp;""</f>
        <v/>
      </c>
      <c r="K271" s="10">
        <f t="shared" si="64"/>
        <v>5</v>
      </c>
      <c r="L271" s="114">
        <f>IF($E271="Not Scored", "N/A",IF(AND($D271='Auto Responses'!$J$27,$H271=""),"N/A",IF(AND($D271='Auto Responses'!$J$27,$H271='Auto Responses'!$J$7),1,IF(AND($D271='Auto Responses'!$J$27,$H271='Auto Responses'!$J$8),0,IF(OR($F271=$G271,$H271='Auto Responses'!$J$7),1,0)))))</f>
        <v>0</v>
      </c>
      <c r="M271" s="10" t="str">
        <f>VLOOKUP($A271,'Privacy Analyst Evaluation'!$A$46:$K$120,10,0)&amp;""</f>
        <v/>
      </c>
      <c r="N271" s="10">
        <f t="shared" si="65"/>
        <v>0</v>
      </c>
      <c r="O271" s="114">
        <f t="shared" si="58"/>
        <v>5</v>
      </c>
      <c r="P271" s="114">
        <f t="shared" si="66"/>
        <v>0</v>
      </c>
      <c r="Q271" s="114">
        <f t="shared" si="59"/>
        <v>0</v>
      </c>
      <c r="R271" s="114">
        <f t="shared" si="67"/>
        <v>0</v>
      </c>
      <c r="S271" s="114">
        <f t="shared" si="60"/>
        <v>0</v>
      </c>
      <c r="T271" s="114">
        <f t="shared" si="61"/>
        <v>0</v>
      </c>
      <c r="U271" s="114">
        <f t="shared" si="68"/>
        <v>71</v>
      </c>
      <c r="V271" s="114">
        <f t="shared" si="62"/>
        <v>0</v>
      </c>
    </row>
    <row r="272" spans="1:22" ht="56" x14ac:dyDescent="0.3">
      <c r="A272" s="10" t="str">
        <f>Questions!$A272</f>
        <v>PRPO-11</v>
      </c>
      <c r="B272" s="10" t="str">
        <f t="shared" si="63"/>
        <v>PRPO</v>
      </c>
      <c r="C272" s="10" t="str">
        <f>VLOOKUP($A272,Questions!$A$3:$L$333,2,0)&amp;""</f>
        <v>Do you have a documented policy for sharing information with law enforcement?</v>
      </c>
      <c r="D272" s="10" t="str">
        <f>VLOOKUP($A272,Questions!$A$3:$L$333,11,0)&amp;""</f>
        <v/>
      </c>
      <c r="E272" s="10" t="str">
        <f>VLOOKUP($A272,Questions!$A$3:$L$333,12,0)&amp;""</f>
        <v>Privacy</v>
      </c>
      <c r="F272" s="10" t="str">
        <f>VLOOKUP($A272,'Privacy Analyst Evaluation'!$A$46:$K$120,3,0)&amp;""</f>
        <v>Yes</v>
      </c>
      <c r="G272" s="10" t="str">
        <f>VLOOKUP($A272,'Privacy Analyst Evaluation'!$A$46:$K$120,7,0)&amp;""</f>
        <v>Yes</v>
      </c>
      <c r="H272" s="10" t="str">
        <f>VLOOKUP($A272,'Privacy Analyst Evaluation'!$A$46:$K$120,8,0)&amp;""</f>
        <v/>
      </c>
      <c r="I272" s="10" t="str">
        <f>VLOOKUP($A272,'Privacy Analyst Evaluation'!$A$46:$K$120,9,0)&amp;""</f>
        <v>Minor Importance</v>
      </c>
      <c r="J272" s="10" t="str">
        <f>VLOOKUP($A272,'Privacy Analyst Evaluation'!$A$46:$K$120,10,0)&amp;""</f>
        <v/>
      </c>
      <c r="K272" s="10">
        <f t="shared" si="64"/>
        <v>5</v>
      </c>
      <c r="L272" s="114">
        <f>IF($E272="Not Scored", "N/A",IF(AND($D272='Auto Responses'!$J$27,$H272=""),"N/A",IF(AND($D272='Auto Responses'!$J$27,$H272='Auto Responses'!$J$7),1,IF(AND($D272='Auto Responses'!$J$27,$H272='Auto Responses'!$J$8),0,IF(OR($F272=$G272,$H272='Auto Responses'!$J$7),1,0)))))</f>
        <v>1</v>
      </c>
      <c r="M272" s="10" t="str">
        <f>VLOOKUP($A272,'Privacy Analyst Evaluation'!$A$46:$K$120,10,0)&amp;""</f>
        <v/>
      </c>
      <c r="N272" s="10">
        <f t="shared" si="65"/>
        <v>0</v>
      </c>
      <c r="O272" s="114">
        <f t="shared" si="58"/>
        <v>5</v>
      </c>
      <c r="P272" s="114">
        <f t="shared" si="66"/>
        <v>5</v>
      </c>
      <c r="Q272" s="114">
        <f t="shared" si="59"/>
        <v>0</v>
      </c>
      <c r="R272" s="114">
        <f t="shared" si="67"/>
        <v>0</v>
      </c>
      <c r="S272" s="114">
        <f t="shared" si="60"/>
        <v>0</v>
      </c>
      <c r="T272" s="114">
        <f t="shared" si="61"/>
        <v>0</v>
      </c>
      <c r="U272" s="114">
        <f t="shared" si="68"/>
        <v>71</v>
      </c>
      <c r="V272" s="114">
        <f t="shared" si="62"/>
        <v>0</v>
      </c>
    </row>
    <row r="273" spans="1:22" ht="56" x14ac:dyDescent="0.3">
      <c r="A273" s="10" t="str">
        <f>Questions!$A273</f>
        <v>PRPO-12</v>
      </c>
      <c r="B273" s="10" t="str">
        <f t="shared" si="63"/>
        <v>PRPO</v>
      </c>
      <c r="C273" s="10" t="str">
        <f>VLOOKUP($A273,Questions!$A$3:$L$333,2,0)&amp;""</f>
        <v>Do you share any institutional data with law enforcement without a valid warrant?*</v>
      </c>
      <c r="D273" s="10" t="str">
        <f>VLOOKUP($A273,Questions!$A$3:$L$333,11,0)&amp;""</f>
        <v/>
      </c>
      <c r="E273" s="10" t="str">
        <f>VLOOKUP($A273,Questions!$A$3:$L$333,12,0)&amp;""</f>
        <v>Privacy</v>
      </c>
      <c r="F273" s="10" t="str">
        <f>VLOOKUP($A273,'Privacy Analyst Evaluation'!$A$46:$K$120,3,0)&amp;""</f>
        <v>No</v>
      </c>
      <c r="G273" s="10" t="str">
        <f>VLOOKUP($A273,'Privacy Analyst Evaluation'!$A$46:$K$120,7,0)&amp;""</f>
        <v>No</v>
      </c>
      <c r="H273" s="10" t="str">
        <f>VLOOKUP($A273,'Privacy Analyst Evaluation'!$A$46:$K$120,8,0)&amp;""</f>
        <v/>
      </c>
      <c r="I273" s="10" t="str">
        <f>VLOOKUP($A273,'Privacy Analyst Evaluation'!$A$46:$K$120,9,0)&amp;""</f>
        <v>Critical Importance</v>
      </c>
      <c r="J273" s="10" t="str">
        <f>VLOOKUP($A273,'Privacy Analyst Evaluation'!$A$46:$K$120,10,0)&amp;""</f>
        <v/>
      </c>
      <c r="K273" s="10">
        <f t="shared" si="64"/>
        <v>20</v>
      </c>
      <c r="L273" s="114">
        <f>IF($E273="Not Scored", "N/A",IF(AND($D273='Auto Responses'!$J$27,$H273=""),"N/A",IF(AND($D273='Auto Responses'!$J$27,$H273='Auto Responses'!$J$7),1,IF(AND($D273='Auto Responses'!$J$27,$H273='Auto Responses'!$J$8),0,IF(OR($F273=$G273,$H273='Auto Responses'!$J$7),1,0)))))</f>
        <v>1</v>
      </c>
      <c r="M273" s="10" t="str">
        <f>VLOOKUP($A273,'Privacy Analyst Evaluation'!$A$46:$K$120,10,0)&amp;""</f>
        <v/>
      </c>
      <c r="N273" s="10">
        <f t="shared" si="65"/>
        <v>1</v>
      </c>
      <c r="O273" s="114">
        <f t="shared" si="58"/>
        <v>20</v>
      </c>
      <c r="P273" s="114">
        <f t="shared" si="66"/>
        <v>20</v>
      </c>
      <c r="Q273" s="114">
        <f t="shared" si="59"/>
        <v>0</v>
      </c>
      <c r="R273" s="114">
        <f t="shared" si="67"/>
        <v>0</v>
      </c>
      <c r="S273" s="114">
        <f t="shared" si="60"/>
        <v>0</v>
      </c>
      <c r="T273" s="114">
        <f t="shared" si="61"/>
        <v>1</v>
      </c>
      <c r="U273" s="114">
        <f t="shared" si="68"/>
        <v>72</v>
      </c>
      <c r="V273" s="114">
        <f t="shared" si="62"/>
        <v>72</v>
      </c>
    </row>
    <row r="274" spans="1:22" ht="56" x14ac:dyDescent="0.3">
      <c r="A274" s="10" t="str">
        <f>Questions!$A274</f>
        <v>PRPO-13</v>
      </c>
      <c r="B274" s="10" t="str">
        <f t="shared" si="63"/>
        <v>PRPO</v>
      </c>
      <c r="C274" s="10" t="str">
        <f>VLOOKUP($A274,Questions!$A$3:$L$333,2,0)&amp;""</f>
        <v>Does your incident response team include a privacy analyst/officer?</v>
      </c>
      <c r="D274" s="10" t="str">
        <f>VLOOKUP($A274,Questions!$A$3:$L$333,11,0)&amp;""</f>
        <v/>
      </c>
      <c r="E274" s="10" t="str">
        <f>VLOOKUP($A274,Questions!$A$3:$L$333,12,0)&amp;""</f>
        <v>Privacy</v>
      </c>
      <c r="F274" s="10" t="str">
        <f>VLOOKUP($A274,'Privacy Analyst Evaluation'!$A$46:$K$120,3,0)&amp;""</f>
        <v>Yes</v>
      </c>
      <c r="G274" s="10" t="str">
        <f>VLOOKUP($A274,'Privacy Analyst Evaluation'!$A$46:$K$120,7,0)&amp;""</f>
        <v>Yes</v>
      </c>
      <c r="H274" s="10" t="str">
        <f>VLOOKUP($A274,'Privacy Analyst Evaluation'!$A$46:$K$120,8,0)&amp;""</f>
        <v/>
      </c>
      <c r="I274" s="10" t="str">
        <f>VLOOKUP($A274,'Privacy Analyst Evaluation'!$A$46:$K$120,9,0)&amp;""</f>
        <v>Minor Importance</v>
      </c>
      <c r="J274" s="10" t="str">
        <f>VLOOKUP($A274,'Privacy Analyst Evaluation'!$A$46:$K$120,10,0)&amp;""</f>
        <v/>
      </c>
      <c r="K274" s="10">
        <f t="shared" si="64"/>
        <v>5</v>
      </c>
      <c r="L274" s="114">
        <f>IF($E274="Not Scored", "N/A",IF(AND($D274='Auto Responses'!$J$27,$H274=""),"N/A",IF(AND($D274='Auto Responses'!$J$27,$H274='Auto Responses'!$J$7),1,IF(AND($D274='Auto Responses'!$J$27,$H274='Auto Responses'!$J$8),0,IF(OR($F274=$G274,$H274='Auto Responses'!$J$7),1,0)))))</f>
        <v>1</v>
      </c>
      <c r="M274" s="10" t="str">
        <f>VLOOKUP($A274,'Privacy Analyst Evaluation'!$A$46:$K$120,10,0)&amp;""</f>
        <v/>
      </c>
      <c r="N274" s="10">
        <f t="shared" si="65"/>
        <v>0</v>
      </c>
      <c r="O274" s="114">
        <f t="shared" si="58"/>
        <v>5</v>
      </c>
      <c r="P274" s="114">
        <f t="shared" si="66"/>
        <v>5</v>
      </c>
      <c r="Q274" s="114">
        <f t="shared" si="59"/>
        <v>0</v>
      </c>
      <c r="R274" s="114">
        <f t="shared" si="67"/>
        <v>0</v>
      </c>
      <c r="S274" s="114">
        <f t="shared" si="60"/>
        <v>0</v>
      </c>
      <c r="T274" s="114">
        <f t="shared" si="61"/>
        <v>0</v>
      </c>
      <c r="U274" s="114">
        <f t="shared" si="68"/>
        <v>72</v>
      </c>
      <c r="V274" s="114">
        <f t="shared" si="62"/>
        <v>0</v>
      </c>
    </row>
    <row r="275" spans="1:22" ht="56" x14ac:dyDescent="0.3">
      <c r="A275" s="10" t="str">
        <f>Questions!$A275</f>
        <v>INTL-01</v>
      </c>
      <c r="B275" s="10" t="str">
        <f t="shared" si="63"/>
        <v>INTL</v>
      </c>
      <c r="C275" s="10" t="str">
        <f>VLOOKUP($A275,Questions!$A$3:$L$333,2,0)&amp;""</f>
        <v>Will data be collected from or processed in or stored in the European Economic Area (EEA)?</v>
      </c>
      <c r="D275" s="10" t="str">
        <f>VLOOKUP($A275,Questions!$A$3:$L$333,11,0)&amp;""</f>
        <v/>
      </c>
      <c r="E275" s="10" t="str">
        <f>VLOOKUP($A275,Questions!$A$3:$L$333,12,0)&amp;""</f>
        <v>Privacy</v>
      </c>
      <c r="F275" s="10" t="str">
        <f>VLOOKUP($A275,'Privacy Analyst Evaluation'!$A$46:$K$120,3,0)&amp;""</f>
        <v>Yes</v>
      </c>
      <c r="G275" s="10" t="str">
        <f>VLOOKUP($A275,'Privacy Analyst Evaluation'!$A$46:$K$120,7,0)&amp;""</f>
        <v>No</v>
      </c>
      <c r="H275" s="10" t="str">
        <f>VLOOKUP($A275,'Privacy Analyst Evaluation'!$A$46:$K$120,8,0)&amp;""</f>
        <v/>
      </c>
      <c r="I275" s="10" t="str">
        <f>VLOOKUP($A275,'Privacy Analyst Evaluation'!$A$46:$K$120,9,0)&amp;""</f>
        <v>Standard Importance</v>
      </c>
      <c r="J275" s="10" t="str">
        <f>VLOOKUP($A275,'Privacy Analyst Evaluation'!$A$46:$K$120,10,0)&amp;""</f>
        <v/>
      </c>
      <c r="K275" s="10">
        <f t="shared" si="64"/>
        <v>10</v>
      </c>
      <c r="L275" s="114">
        <f>IF($E275="Not Scored", "N/A",IF(AND($D275='Auto Responses'!$J$27,$H275=""),"N/A",IF(AND($D275='Auto Responses'!$J$27,$H275='Auto Responses'!$J$7),1,IF(AND($D275='Auto Responses'!$J$27,$H275='Auto Responses'!$J$8),0,IF(OR($F275=$G275,$H275='Auto Responses'!$J$7),1,0)))))</f>
        <v>0</v>
      </c>
      <c r="M275" s="10" t="str">
        <f>VLOOKUP($A275,'Privacy Analyst Evaluation'!$A$46:$K$120,10,0)&amp;""</f>
        <v/>
      </c>
      <c r="N275" s="10">
        <f t="shared" si="65"/>
        <v>0</v>
      </c>
      <c r="O275" s="114">
        <f t="shared" si="58"/>
        <v>10</v>
      </c>
      <c r="P275" s="114">
        <f t="shared" si="66"/>
        <v>0</v>
      </c>
      <c r="Q275" s="114">
        <f t="shared" si="59"/>
        <v>0</v>
      </c>
      <c r="R275" s="114">
        <f t="shared" si="67"/>
        <v>0</v>
      </c>
      <c r="S275" s="114">
        <f t="shared" si="60"/>
        <v>0</v>
      </c>
      <c r="T275" s="114">
        <f t="shared" si="61"/>
        <v>0</v>
      </c>
      <c r="U275" s="114">
        <f t="shared" si="68"/>
        <v>72</v>
      </c>
      <c r="V275" s="114">
        <f t="shared" si="62"/>
        <v>0</v>
      </c>
    </row>
    <row r="276" spans="1:22" ht="56" x14ac:dyDescent="0.3">
      <c r="A276" s="10" t="str">
        <f>Questions!$A276</f>
        <v>INTL-02</v>
      </c>
      <c r="B276" s="10" t="str">
        <f t="shared" si="63"/>
        <v>INTL</v>
      </c>
      <c r="C276" s="10" t="str">
        <f>VLOOKUP($A276,Questions!$A$3:$L$333,2,0)&amp;""</f>
        <v>Do you have a data protection officer (DPO)?</v>
      </c>
      <c r="D276" s="10" t="str">
        <f>VLOOKUP($A276,Questions!$A$3:$L$333,11,0)&amp;""</f>
        <v/>
      </c>
      <c r="E276" s="10" t="str">
        <f>VLOOKUP($A276,Questions!$A$3:$L$333,12,0)&amp;""</f>
        <v>Privacy</v>
      </c>
      <c r="F276" s="10" t="str">
        <f>VLOOKUP($A276,'Privacy Analyst Evaluation'!$A$46:$K$120,3,0)&amp;""</f>
        <v>Yes</v>
      </c>
      <c r="G276" s="10" t="str">
        <f>VLOOKUP($A276,'Privacy Analyst Evaluation'!$A$46:$K$120,7,0)&amp;""</f>
        <v>Yes</v>
      </c>
      <c r="H276" s="10" t="str">
        <f>VLOOKUP($A276,'Privacy Analyst Evaluation'!$A$46:$K$120,8,0)&amp;""</f>
        <v/>
      </c>
      <c r="I276" s="10" t="str">
        <f>VLOOKUP($A276,'Privacy Analyst Evaluation'!$A$46:$K$120,9,0)&amp;""</f>
        <v>Standard Importance</v>
      </c>
      <c r="J276" s="10" t="str">
        <f>VLOOKUP($A276,'Privacy Analyst Evaluation'!$A$46:$K$120,10,0)&amp;""</f>
        <v/>
      </c>
      <c r="K276" s="10">
        <f t="shared" si="64"/>
        <v>10</v>
      </c>
      <c r="L276" s="114">
        <f>IF($E276="Not Scored", "N/A",IF(AND($D276='Auto Responses'!$J$27,$H276=""),"N/A",IF(AND($D276='Auto Responses'!$J$27,$H276='Auto Responses'!$J$7),1,IF(AND($D276='Auto Responses'!$J$27,$H276='Auto Responses'!$J$8),0,IF(OR($F276=$G276,$H276='Auto Responses'!$J$7),1,0)))))</f>
        <v>1</v>
      </c>
      <c r="M276" s="10" t="str">
        <f>VLOOKUP($A276,'Privacy Analyst Evaluation'!$A$46:$K$120,10,0)&amp;""</f>
        <v/>
      </c>
      <c r="N276" s="10">
        <f t="shared" si="65"/>
        <v>0</v>
      </c>
      <c r="O276" s="114">
        <f t="shared" si="58"/>
        <v>10</v>
      </c>
      <c r="P276" s="114">
        <f t="shared" si="66"/>
        <v>10</v>
      </c>
      <c r="Q276" s="114">
        <f t="shared" si="59"/>
        <v>0</v>
      </c>
      <c r="R276" s="114">
        <f t="shared" si="67"/>
        <v>0</v>
      </c>
      <c r="S276" s="114">
        <f t="shared" si="60"/>
        <v>0</v>
      </c>
      <c r="T276" s="114">
        <f t="shared" si="61"/>
        <v>0</v>
      </c>
      <c r="U276" s="114">
        <f t="shared" si="68"/>
        <v>72</v>
      </c>
      <c r="V276" s="114">
        <f t="shared" si="62"/>
        <v>0</v>
      </c>
    </row>
    <row r="277" spans="1:22" ht="56" x14ac:dyDescent="0.3">
      <c r="A277" s="10" t="str">
        <f>Questions!$A277</f>
        <v>INTL-03</v>
      </c>
      <c r="B277" s="10" t="str">
        <f t="shared" si="63"/>
        <v>INTL</v>
      </c>
      <c r="C277" s="10" t="str">
        <f>VLOOKUP($A277,Questions!$A$3:$L$333,2,0)&amp;""</f>
        <v>Will you sign appropriate GDPR Standard Contractual Clauses (SCCs) with the institution?</v>
      </c>
      <c r="D277" s="10" t="str">
        <f>VLOOKUP($A277,Questions!$A$3:$L$333,11,0)&amp;""</f>
        <v/>
      </c>
      <c r="E277" s="10" t="str">
        <f>VLOOKUP($A277,Questions!$A$3:$L$333,12,0)&amp;""</f>
        <v>Privacy</v>
      </c>
      <c r="F277" s="10" t="str">
        <f>VLOOKUP($A277,'Privacy Analyst Evaluation'!$A$46:$K$120,3,0)&amp;""</f>
        <v>Yes</v>
      </c>
      <c r="G277" s="10" t="str">
        <f>VLOOKUP($A277,'Privacy Analyst Evaluation'!$A$46:$K$120,7,0)&amp;""</f>
        <v>Yes</v>
      </c>
      <c r="H277" s="10" t="str">
        <f>VLOOKUP($A277,'Privacy Analyst Evaluation'!$A$46:$K$120,8,0)&amp;""</f>
        <v/>
      </c>
      <c r="I277" s="10" t="str">
        <f>VLOOKUP($A277,'Privacy Analyst Evaluation'!$A$46:$K$120,9,0)&amp;""</f>
        <v>Standard Importance</v>
      </c>
      <c r="J277" s="10" t="str">
        <f>VLOOKUP($A277,'Privacy Analyst Evaluation'!$A$46:$K$120,10,0)&amp;""</f>
        <v/>
      </c>
      <c r="K277" s="10">
        <f t="shared" si="64"/>
        <v>10</v>
      </c>
      <c r="L277" s="114">
        <f>IF($E277="Not Scored", "N/A",IF(AND($D277='Auto Responses'!$J$27,$H277=""),"N/A",IF(AND($D277='Auto Responses'!$J$27,$H277='Auto Responses'!$J$7),1,IF(AND($D277='Auto Responses'!$J$27,$H277='Auto Responses'!$J$8),0,IF(OR($F277=$G277,$H277='Auto Responses'!$J$7),1,0)))))</f>
        <v>1</v>
      </c>
      <c r="M277" s="10" t="str">
        <f>VLOOKUP($A277,'Privacy Analyst Evaluation'!$A$46:$K$120,10,0)&amp;""</f>
        <v/>
      </c>
      <c r="N277" s="10">
        <f t="shared" si="65"/>
        <v>0</v>
      </c>
      <c r="O277" s="114">
        <f t="shared" si="58"/>
        <v>10</v>
      </c>
      <c r="P277" s="114">
        <f t="shared" si="66"/>
        <v>10</v>
      </c>
      <c r="Q277" s="114">
        <f t="shared" si="59"/>
        <v>0</v>
      </c>
      <c r="R277" s="114">
        <f t="shared" si="67"/>
        <v>0</v>
      </c>
      <c r="S277" s="114">
        <f t="shared" si="60"/>
        <v>0</v>
      </c>
      <c r="T277" s="114">
        <f t="shared" si="61"/>
        <v>0</v>
      </c>
      <c r="U277" s="114">
        <f t="shared" si="68"/>
        <v>72</v>
      </c>
      <c r="V277" s="114">
        <f t="shared" si="62"/>
        <v>0</v>
      </c>
    </row>
    <row r="278" spans="1:22" ht="56" x14ac:dyDescent="0.3">
      <c r="A278" s="10" t="str">
        <f>Questions!$A278</f>
        <v>INTL-04</v>
      </c>
      <c r="B278" s="10" t="str">
        <f t="shared" si="63"/>
        <v>INTL</v>
      </c>
      <c r="C278" s="10" t="str">
        <f>VLOOKUP($A278,Questions!$A$3:$L$333,2,0)&amp;""</f>
        <v>Will data be collected from or processed in or stored in China?</v>
      </c>
      <c r="D278" s="10" t="str">
        <f>VLOOKUP($A278,Questions!$A$3:$L$333,11,0)&amp;""</f>
        <v/>
      </c>
      <c r="E278" s="10" t="str">
        <f>VLOOKUP($A278,Questions!$A$3:$L$333,12,0)&amp;""</f>
        <v>Privacy</v>
      </c>
      <c r="F278" s="10" t="str">
        <f>VLOOKUP($A278,'Privacy Analyst Evaluation'!$A$46:$K$120,3,0)&amp;""</f>
        <v>No</v>
      </c>
      <c r="G278" s="10" t="str">
        <f>VLOOKUP($A278,'Privacy Analyst Evaluation'!$A$46:$K$120,7,0)&amp;""</f>
        <v>No</v>
      </c>
      <c r="H278" s="10" t="str">
        <f>VLOOKUP($A278,'Privacy Analyst Evaluation'!$A$46:$K$120,8,0)&amp;""</f>
        <v/>
      </c>
      <c r="I278" s="10" t="str">
        <f>VLOOKUP($A278,'Privacy Analyst Evaluation'!$A$46:$K$120,9,0)&amp;""</f>
        <v>Standard Importance</v>
      </c>
      <c r="J278" s="10" t="str">
        <f>VLOOKUP($A278,'Privacy Analyst Evaluation'!$A$46:$K$120,10,0)&amp;""</f>
        <v/>
      </c>
      <c r="K278" s="10">
        <f t="shared" si="64"/>
        <v>10</v>
      </c>
      <c r="L278" s="114">
        <f>IF($E278="Not Scored", "N/A",IF(AND($D278='Auto Responses'!$J$27,$H278=""),"N/A",IF(AND($D278='Auto Responses'!$J$27,$H278='Auto Responses'!$J$7),1,IF(AND($D278='Auto Responses'!$J$27,$H278='Auto Responses'!$J$8),0,IF(OR($F278=$G278,$H278='Auto Responses'!$J$7),1,0)))))</f>
        <v>1</v>
      </c>
      <c r="M278" s="10" t="str">
        <f>VLOOKUP($A278,'Privacy Analyst Evaluation'!$A$46:$K$120,10,0)&amp;""</f>
        <v/>
      </c>
      <c r="N278" s="10">
        <f t="shared" si="65"/>
        <v>0</v>
      </c>
      <c r="O278" s="114">
        <f t="shared" si="58"/>
        <v>10</v>
      </c>
      <c r="P278" s="114">
        <f t="shared" si="66"/>
        <v>10</v>
      </c>
      <c r="Q278" s="114">
        <f t="shared" si="59"/>
        <v>0</v>
      </c>
      <c r="R278" s="114">
        <f t="shared" si="67"/>
        <v>0</v>
      </c>
      <c r="S278" s="114">
        <f t="shared" si="60"/>
        <v>0</v>
      </c>
      <c r="T278" s="114">
        <f t="shared" si="61"/>
        <v>0</v>
      </c>
      <c r="U278" s="114">
        <f t="shared" si="68"/>
        <v>72</v>
      </c>
      <c r="V278" s="114">
        <f t="shared" si="62"/>
        <v>0</v>
      </c>
    </row>
    <row r="279" spans="1:22" ht="56" x14ac:dyDescent="0.3">
      <c r="A279" s="10" t="str">
        <f>Questions!$A279</f>
        <v>INTL-05</v>
      </c>
      <c r="B279" s="10" t="str">
        <f t="shared" si="63"/>
        <v>INTL</v>
      </c>
      <c r="C279" s="10" t="str">
        <f>VLOOKUP($A279,Questions!$A$3:$L$333,2,0)&amp;""</f>
        <v>Do you comply with PIPL security, privacy, and data localization requirements?</v>
      </c>
      <c r="D279" s="10" t="str">
        <f>VLOOKUP($A279,Questions!$A$3:$L$333,11,0)&amp;""</f>
        <v/>
      </c>
      <c r="E279" s="10" t="str">
        <f>VLOOKUP($A279,Questions!$A$3:$L$333,12,0)&amp;""</f>
        <v>Privacy</v>
      </c>
      <c r="F279" s="10" t="str">
        <f>VLOOKUP($A279,'Privacy Analyst Evaluation'!$A$46:$K$120,3,0)&amp;""</f>
        <v>No</v>
      </c>
      <c r="G279" s="10" t="str">
        <f>VLOOKUP($A279,'Privacy Analyst Evaluation'!$A$46:$K$120,7,0)&amp;""</f>
        <v>Yes</v>
      </c>
      <c r="H279" s="10" t="str">
        <f>VLOOKUP($A279,'Privacy Analyst Evaluation'!$A$46:$K$120,8,0)&amp;""</f>
        <v/>
      </c>
      <c r="I279" s="10" t="str">
        <f>VLOOKUP($A279,'Privacy Analyst Evaluation'!$A$46:$K$120,9,0)&amp;""</f>
        <v>Standard Importance</v>
      </c>
      <c r="J279" s="10" t="str">
        <f>VLOOKUP($A279,'Privacy Analyst Evaluation'!$A$46:$K$120,10,0)&amp;""</f>
        <v/>
      </c>
      <c r="K279" s="10">
        <f t="shared" si="64"/>
        <v>10</v>
      </c>
      <c r="L279" s="114">
        <f>IF($E279="Not Scored", "N/A",IF(AND($D279='Auto Responses'!$J$27,$H279=""),"N/A",IF(AND($D279='Auto Responses'!$J$27,$H279='Auto Responses'!$J$7),1,IF(AND($D279='Auto Responses'!$J$27,$H279='Auto Responses'!$J$8),0,IF(OR($F279=$G279,$H279='Auto Responses'!$J$7),1,0)))))</f>
        <v>0</v>
      </c>
      <c r="M279" s="10" t="str">
        <f>VLOOKUP($A279,'Privacy Analyst Evaluation'!$A$46:$K$120,10,0)&amp;""</f>
        <v/>
      </c>
      <c r="N279" s="10">
        <f t="shared" si="65"/>
        <v>0</v>
      </c>
      <c r="O279" s="114">
        <f>IF(OR($E279="Not Scored",$F279="N/A",$F$24="No"),"N/A",IF($J279="",$K279,IF($J279="Minor Importance",5,IF($J279="Standard Importance",10,IF($J279="Critical Importance",20,0)))))</f>
        <v>10</v>
      </c>
      <c r="P279" s="114">
        <f t="shared" si="66"/>
        <v>0</v>
      </c>
      <c r="Q279" s="114">
        <f t="shared" si="59"/>
        <v>0</v>
      </c>
      <c r="R279" s="114">
        <f t="shared" si="67"/>
        <v>0</v>
      </c>
      <c r="S279" s="114">
        <f t="shared" si="60"/>
        <v>0</v>
      </c>
      <c r="T279" s="114">
        <f t="shared" si="61"/>
        <v>0</v>
      </c>
      <c r="U279" s="114">
        <f t="shared" si="68"/>
        <v>72</v>
      </c>
      <c r="V279" s="114">
        <f t="shared" si="62"/>
        <v>0</v>
      </c>
    </row>
    <row r="280" spans="1:22" ht="56" x14ac:dyDescent="0.3">
      <c r="A280" s="10" t="str">
        <f>Questions!$A280</f>
        <v>DRPV-01</v>
      </c>
      <c r="B280" s="10" t="str">
        <f t="shared" si="63"/>
        <v>DRPV</v>
      </c>
      <c r="C280" s="10" t="str">
        <f>VLOOKUP($A280,Questions!$A$3:$L$333,2,0)&amp;""</f>
        <v>Have you performed a Data Privacy Impact Assesssment for the solution/project?</v>
      </c>
      <c r="D280" s="10" t="str">
        <f>VLOOKUP($A280,Questions!$A$3:$L$333,11,0)&amp;""</f>
        <v/>
      </c>
      <c r="E280" s="10" t="str">
        <f>VLOOKUP($A280,Questions!$A$3:$L$333,12,0)&amp;""</f>
        <v>Privacy</v>
      </c>
      <c r="F280" s="10" t="str">
        <f>VLOOKUP($A280,'Privacy Analyst Evaluation'!$A$46:$K$120,3,0)&amp;""</f>
        <v>No</v>
      </c>
      <c r="G280" s="10" t="str">
        <f>VLOOKUP($A280,'Privacy Analyst Evaluation'!$A$46:$K$120,7,0)&amp;""</f>
        <v>Yes</v>
      </c>
      <c r="H280" s="10" t="str">
        <f>VLOOKUP($A280,'Privacy Analyst Evaluation'!$A$46:$K$120,8,0)&amp;""</f>
        <v/>
      </c>
      <c r="I280" s="10" t="str">
        <f>VLOOKUP($A280,'Privacy Analyst Evaluation'!$A$46:$K$120,9,0)&amp;""</f>
        <v>Standard Importance</v>
      </c>
      <c r="J280" s="10" t="str">
        <f>VLOOKUP($A280,'Privacy Analyst Evaluation'!$A$46:$K$120,10,0)&amp;""</f>
        <v/>
      </c>
      <c r="K280" s="10">
        <f t="shared" si="64"/>
        <v>10</v>
      </c>
      <c r="L280" s="114">
        <f>IF($E280="Not Scored", "N/A",IF(AND($D280='Auto Responses'!$J$27,$H280=""),"N/A",IF(AND($D280='Auto Responses'!$J$27,$H280='Auto Responses'!$J$7),1,IF(AND($D280='Auto Responses'!$J$27,$H280='Auto Responses'!$J$8),0,IF(OR($F280=$G280,$H280='Auto Responses'!$J$7),1,0)))))</f>
        <v>0</v>
      </c>
      <c r="M280" s="10" t="str">
        <f>VLOOKUP($A280,'Privacy Analyst Evaluation'!$A$46:$K$120,10,0)&amp;""</f>
        <v/>
      </c>
      <c r="N280" s="10">
        <f t="shared" si="65"/>
        <v>0</v>
      </c>
      <c r="O280" s="114">
        <f t="shared" si="58"/>
        <v>10</v>
      </c>
      <c r="P280" s="114">
        <f t="shared" si="66"/>
        <v>0</v>
      </c>
      <c r="Q280" s="114">
        <f t="shared" si="59"/>
        <v>0</v>
      </c>
      <c r="R280" s="114">
        <f t="shared" si="67"/>
        <v>0</v>
      </c>
      <c r="S280" s="114">
        <f t="shared" si="60"/>
        <v>0</v>
      </c>
      <c r="T280" s="114">
        <f t="shared" si="61"/>
        <v>0</v>
      </c>
      <c r="U280" s="114">
        <f t="shared" si="68"/>
        <v>72</v>
      </c>
      <c r="V280" s="114">
        <f t="shared" si="62"/>
        <v>0</v>
      </c>
    </row>
    <row r="281" spans="1:22" ht="56" x14ac:dyDescent="0.3">
      <c r="A281" s="10" t="str">
        <f>Questions!$A281</f>
        <v>DRPV-02</v>
      </c>
      <c r="B281" s="10" t="str">
        <f t="shared" si="63"/>
        <v>DRPV</v>
      </c>
      <c r="C281" s="10" t="str">
        <f>VLOOKUP($A281,Questions!$A$3:$L$333,2,0)&amp;""</f>
        <v>Do you provide an end-user privacy notice about privacy policies and procedures that identify the purpose(s) for which personal information is collected, used, retained, and disclosed?</v>
      </c>
      <c r="D281" s="10" t="str">
        <f>VLOOKUP($A281,Questions!$A$3:$L$333,11,0)&amp;""</f>
        <v/>
      </c>
      <c r="E281" s="10" t="str">
        <f>VLOOKUP($A281,Questions!$A$3:$L$333,12,0)&amp;""</f>
        <v>Privacy</v>
      </c>
      <c r="F281" s="10" t="str">
        <f>VLOOKUP($A281,'Privacy Analyst Evaluation'!$A$46:$K$120,3,0)&amp;""</f>
        <v>Yes</v>
      </c>
      <c r="G281" s="10" t="str">
        <f>VLOOKUP($A281,'Privacy Analyst Evaluation'!$A$46:$K$120,7,0)&amp;""</f>
        <v>Yes</v>
      </c>
      <c r="H281" s="10" t="str">
        <f>VLOOKUP($A281,'Privacy Analyst Evaluation'!$A$46:$K$120,8,0)&amp;""</f>
        <v/>
      </c>
      <c r="I281" s="10" t="str">
        <f>VLOOKUP($A281,'Privacy Analyst Evaluation'!$A$46:$K$120,9,0)&amp;""</f>
        <v>Standard Importance</v>
      </c>
      <c r="J281" s="10" t="str">
        <f>VLOOKUP($A281,'Privacy Analyst Evaluation'!$A$46:$K$120,10,0)&amp;""</f>
        <v/>
      </c>
      <c r="K281" s="10">
        <f t="shared" si="64"/>
        <v>10</v>
      </c>
      <c r="L281" s="114">
        <f>IF($E281="Not Scored", "N/A",IF(AND($D281='Auto Responses'!$J$27,$H281=""),"N/A",IF(AND($D281='Auto Responses'!$J$27,$H281='Auto Responses'!$J$7),1,IF(AND($D281='Auto Responses'!$J$27,$H281='Auto Responses'!$J$8),0,IF(OR($F281=$G281,$H281='Auto Responses'!$J$7),1,0)))))</f>
        <v>1</v>
      </c>
      <c r="M281" s="10" t="str">
        <f>VLOOKUP($A281,'Privacy Analyst Evaluation'!$A$46:$K$120,10,0)&amp;""</f>
        <v/>
      </c>
      <c r="N281" s="10">
        <f t="shared" si="65"/>
        <v>0</v>
      </c>
      <c r="O281" s="114">
        <f t="shared" si="58"/>
        <v>10</v>
      </c>
      <c r="P281" s="114">
        <f t="shared" si="66"/>
        <v>10</v>
      </c>
      <c r="Q281" s="114">
        <f t="shared" si="59"/>
        <v>0</v>
      </c>
      <c r="R281" s="114">
        <f t="shared" si="67"/>
        <v>0</v>
      </c>
      <c r="S281" s="114">
        <f t="shared" si="60"/>
        <v>0</v>
      </c>
      <c r="T281" s="114">
        <f t="shared" si="61"/>
        <v>0</v>
      </c>
      <c r="U281" s="114">
        <f t="shared" si="68"/>
        <v>72</v>
      </c>
      <c r="V281" s="114">
        <f t="shared" si="62"/>
        <v>0</v>
      </c>
    </row>
    <row r="282" spans="1:22" ht="56" x14ac:dyDescent="0.3">
      <c r="A282" s="10" t="str">
        <f>Questions!$A282</f>
        <v>DRPV-03</v>
      </c>
      <c r="B282" s="10" t="str">
        <f t="shared" si="63"/>
        <v>DRPV</v>
      </c>
      <c r="C282" s="10" t="str">
        <f>VLOOKUP($A282,Questions!$A$3:$L$333,2,0)&amp;""</f>
        <v>Do you describe the choices available to the individual and obtain implicit or explicit consent with respect to the collection, use, and disclosure of personal information?</v>
      </c>
      <c r="D282" s="10" t="str">
        <f>VLOOKUP($A282,Questions!$A$3:$L$333,11,0)&amp;""</f>
        <v/>
      </c>
      <c r="E282" s="10" t="str">
        <f>VLOOKUP($A282,Questions!$A$3:$L$333,12,0)&amp;""</f>
        <v>Privacy</v>
      </c>
      <c r="F282" s="10" t="str">
        <f>VLOOKUP($A282,'Privacy Analyst Evaluation'!$A$46:$K$120,3,0)&amp;""</f>
        <v>Yes</v>
      </c>
      <c r="G282" s="10" t="str">
        <f>VLOOKUP($A282,'Privacy Analyst Evaluation'!$A$46:$K$120,7,0)&amp;""</f>
        <v>Yes</v>
      </c>
      <c r="H282" s="10" t="str">
        <f>VLOOKUP($A282,'Privacy Analyst Evaluation'!$A$46:$K$120,8,0)&amp;""</f>
        <v/>
      </c>
      <c r="I282" s="10" t="str">
        <f>VLOOKUP($A282,'Privacy Analyst Evaluation'!$A$46:$K$120,9,0)&amp;""</f>
        <v>Standard Importance</v>
      </c>
      <c r="J282" s="10" t="str">
        <f>VLOOKUP($A282,'Privacy Analyst Evaluation'!$A$46:$K$120,10,0)&amp;""</f>
        <v/>
      </c>
      <c r="K282" s="10">
        <f t="shared" si="64"/>
        <v>10</v>
      </c>
      <c r="L282" s="114">
        <f>IF($E282="Not Scored", "N/A",IF(AND($D282='Auto Responses'!$J$27,$H282=""),"N/A",IF(AND($D282='Auto Responses'!$J$27,$H282='Auto Responses'!$J$7),1,IF(AND($D282='Auto Responses'!$J$27,$H282='Auto Responses'!$J$8),0,IF(OR($F282=$G282,$H282='Auto Responses'!$J$7),1,0)))))</f>
        <v>1</v>
      </c>
      <c r="M282" s="10" t="str">
        <f>VLOOKUP($A282,'Privacy Analyst Evaluation'!$A$46:$K$120,10,0)&amp;""</f>
        <v/>
      </c>
      <c r="N282" s="10">
        <f t="shared" si="65"/>
        <v>0</v>
      </c>
      <c r="O282" s="114">
        <f>IF(OR($E282="Not Scored",$F282="N/A",$F$24="No"),"N/A",IF($J282="",$K282,IF($J282="Minor Importance",5,IF($J282="Standard Importance",10,IF($J282="Critical Importance",20,0)))))</f>
        <v>10</v>
      </c>
      <c r="P282" s="114">
        <f t="shared" si="66"/>
        <v>10</v>
      </c>
      <c r="Q282" s="114">
        <f t="shared" si="59"/>
        <v>0</v>
      </c>
      <c r="R282" s="114">
        <f t="shared" si="67"/>
        <v>0</v>
      </c>
      <c r="S282" s="114">
        <f t="shared" si="60"/>
        <v>0</v>
      </c>
      <c r="T282" s="114">
        <f t="shared" si="61"/>
        <v>0</v>
      </c>
      <c r="U282" s="114">
        <f t="shared" si="68"/>
        <v>72</v>
      </c>
      <c r="V282" s="114">
        <f t="shared" si="62"/>
        <v>0</v>
      </c>
    </row>
    <row r="283" spans="1:22" ht="56" x14ac:dyDescent="0.3">
      <c r="A283" s="10" t="str">
        <f>Questions!$A283</f>
        <v>DRPV-04</v>
      </c>
      <c r="B283" s="10" t="str">
        <f t="shared" si="63"/>
        <v>DRPV</v>
      </c>
      <c r="C283" s="10" t="str">
        <f>VLOOKUP($A283,Questions!$A$3:$L$333,2,0)&amp;""</f>
        <v>Do you collect personal information only for the purpose(s) identified in the agreement with an institution or, if there is none, the purpose(s) identified in the privacy notice?</v>
      </c>
      <c r="D283" s="10" t="str">
        <f>VLOOKUP($A283,Questions!$A$3:$L$333,11,0)&amp;""</f>
        <v/>
      </c>
      <c r="E283" s="10" t="str">
        <f>VLOOKUP($A283,Questions!$A$3:$L$333,12,0)&amp;""</f>
        <v>Privacy</v>
      </c>
      <c r="F283" s="10" t="str">
        <f>VLOOKUP($A283,'Privacy Analyst Evaluation'!$A$46:$K$120,3,0)&amp;""</f>
        <v>Yes</v>
      </c>
      <c r="G283" s="10" t="str">
        <f>VLOOKUP($A283,'Privacy Analyst Evaluation'!$A$46:$K$120,7,0)&amp;""</f>
        <v>Yes</v>
      </c>
      <c r="H283" s="10" t="str">
        <f>VLOOKUP($A283,'Privacy Analyst Evaluation'!$A$46:$K$120,8,0)&amp;""</f>
        <v/>
      </c>
      <c r="I283" s="10" t="str">
        <f>VLOOKUP($A283,'Privacy Analyst Evaluation'!$A$46:$K$120,9,0)&amp;""</f>
        <v>Standard Importance</v>
      </c>
      <c r="J283" s="10" t="str">
        <f>VLOOKUP($A283,'Privacy Analyst Evaluation'!$A$46:$K$120,10,0)&amp;""</f>
        <v/>
      </c>
      <c r="K283" s="10">
        <f t="shared" si="64"/>
        <v>10</v>
      </c>
      <c r="L283" s="114">
        <f>IF($E283="Not Scored", "N/A",IF(AND($D283='Auto Responses'!$J$27,$H283=""),"N/A",IF(AND($D283='Auto Responses'!$J$27,$H283='Auto Responses'!$J$7),1,IF(AND($D283='Auto Responses'!$J$27,$H283='Auto Responses'!$J$8),0,IF(OR($F283=$G283,$H283='Auto Responses'!$J$7),1,0)))))</f>
        <v>1</v>
      </c>
      <c r="M283" s="10" t="str">
        <f>VLOOKUP($A283,'Privacy Analyst Evaluation'!$A$46:$K$120,10,0)&amp;""</f>
        <v/>
      </c>
      <c r="N283" s="10">
        <f t="shared" si="65"/>
        <v>0</v>
      </c>
      <c r="O283" s="114">
        <f t="shared" ref="O283:O293" si="69">IF(OR($E283="Not Scored",$F283="N/A",$F$24="No"),"N/A",IF($J283="",$K283,IF($J283="Minor Importance",5,IF($J283="Standard Importance",10,IF($J283="Critical Importance",20,0)))))</f>
        <v>10</v>
      </c>
      <c r="P283" s="114">
        <f t="shared" si="66"/>
        <v>10</v>
      </c>
      <c r="Q283" s="114">
        <f t="shared" si="59"/>
        <v>0</v>
      </c>
      <c r="R283" s="114">
        <f t="shared" si="67"/>
        <v>0</v>
      </c>
      <c r="S283" s="114">
        <f t="shared" si="60"/>
        <v>0</v>
      </c>
      <c r="T283" s="114">
        <f t="shared" si="61"/>
        <v>0</v>
      </c>
      <c r="U283" s="114">
        <f t="shared" si="68"/>
        <v>72</v>
      </c>
      <c r="V283" s="114">
        <f t="shared" si="62"/>
        <v>0</v>
      </c>
    </row>
    <row r="284" spans="1:22" ht="56" x14ac:dyDescent="0.3">
      <c r="A284" s="10" t="str">
        <f>Questions!$A284</f>
        <v>DRPV-05</v>
      </c>
      <c r="B284" s="10" t="str">
        <f t="shared" si="63"/>
        <v>DRPV</v>
      </c>
      <c r="C284" s="10" t="str">
        <f>VLOOKUP($A284,Questions!$A$3:$L$333,2,0)&amp;""</f>
        <v>Do you have a documented list of personal data your service maintains?</v>
      </c>
      <c r="D284" s="10" t="str">
        <f>VLOOKUP($A284,Questions!$A$3:$L$333,11,0)&amp;""</f>
        <v/>
      </c>
      <c r="E284" s="10" t="str">
        <f>VLOOKUP($A284,Questions!$A$3:$L$333,12,0)&amp;""</f>
        <v>Privacy</v>
      </c>
      <c r="F284" s="10" t="str">
        <f>VLOOKUP($A284,'Privacy Analyst Evaluation'!$A$46:$K$120,3,0)&amp;""</f>
        <v>Yes</v>
      </c>
      <c r="G284" s="10" t="str">
        <f>VLOOKUP($A284,'Privacy Analyst Evaluation'!$A$46:$K$120,7,0)&amp;""</f>
        <v>Yes</v>
      </c>
      <c r="H284" s="10" t="str">
        <f>VLOOKUP($A284,'Privacy Analyst Evaluation'!$A$46:$K$120,8,0)&amp;""</f>
        <v/>
      </c>
      <c r="I284" s="10" t="str">
        <f>VLOOKUP($A284,'Privacy Analyst Evaluation'!$A$46:$K$120,9,0)&amp;""</f>
        <v>Standard Importance</v>
      </c>
      <c r="J284" s="10" t="str">
        <f>VLOOKUP($A284,'Privacy Analyst Evaluation'!$A$46:$K$120,10,0)&amp;""</f>
        <v/>
      </c>
      <c r="K284" s="10">
        <f t="shared" si="64"/>
        <v>10</v>
      </c>
      <c r="L284" s="114">
        <f>IF($E284="Not Scored", "N/A",IF(AND($D284='Auto Responses'!$J$27,$H284=""),"N/A",IF(AND($D284='Auto Responses'!$J$27,$H284='Auto Responses'!$J$7),1,IF(AND($D284='Auto Responses'!$J$27,$H284='Auto Responses'!$J$8),0,IF(OR($F284=$G284,$H284='Auto Responses'!$J$7),1,0)))))</f>
        <v>1</v>
      </c>
      <c r="M284" s="10" t="str">
        <f>VLOOKUP($A284,'Privacy Analyst Evaluation'!$A$46:$K$120,10,0)&amp;""</f>
        <v/>
      </c>
      <c r="N284" s="10">
        <f t="shared" si="65"/>
        <v>0</v>
      </c>
      <c r="O284" s="114">
        <f t="shared" si="69"/>
        <v>10</v>
      </c>
      <c r="P284" s="114">
        <f t="shared" si="66"/>
        <v>10</v>
      </c>
      <c r="Q284" s="114">
        <f t="shared" si="59"/>
        <v>0</v>
      </c>
      <c r="R284" s="114">
        <f t="shared" si="67"/>
        <v>0</v>
      </c>
      <c r="S284" s="114">
        <f t="shared" si="60"/>
        <v>0</v>
      </c>
      <c r="T284" s="114">
        <f t="shared" si="61"/>
        <v>0</v>
      </c>
      <c r="U284" s="114">
        <f t="shared" si="68"/>
        <v>72</v>
      </c>
      <c r="V284" s="114">
        <f t="shared" si="62"/>
        <v>0</v>
      </c>
    </row>
    <row r="285" spans="1:22" ht="56" x14ac:dyDescent="0.3">
      <c r="A285" s="10" t="str">
        <f>Questions!$A285</f>
        <v>DRPV-06</v>
      </c>
      <c r="B285" s="10" t="str">
        <f t="shared" si="63"/>
        <v>DRPV</v>
      </c>
      <c r="C285" s="10" t="str">
        <f>VLOOKUP($A285,Questions!$A$3:$L$333,2,0)&amp;""</f>
        <v>Do you retain personal information for only as long as necessary to fulfill the stated purpose(s) or as required by law or regulation and thereafter appropriately dispose of such information?</v>
      </c>
      <c r="D285" s="10" t="str">
        <f>VLOOKUP($A285,Questions!$A$3:$L$333,11,0)&amp;""</f>
        <v/>
      </c>
      <c r="E285" s="10" t="str">
        <f>VLOOKUP($A285,Questions!$A$3:$L$333,12,0)&amp;""</f>
        <v>Privacy</v>
      </c>
      <c r="F285" s="10" t="str">
        <f>VLOOKUP($A285,'Privacy Analyst Evaluation'!$A$46:$K$120,3,0)&amp;""</f>
        <v>Yes</v>
      </c>
      <c r="G285" s="10" t="str">
        <f>VLOOKUP($A285,'Privacy Analyst Evaluation'!$A$46:$K$120,7,0)&amp;""</f>
        <v>Yes</v>
      </c>
      <c r="H285" s="10" t="str">
        <f>VLOOKUP($A285,'Privacy Analyst Evaluation'!$A$46:$K$120,8,0)&amp;""</f>
        <v/>
      </c>
      <c r="I285" s="10" t="str">
        <f>VLOOKUP($A285,'Privacy Analyst Evaluation'!$A$46:$K$120,9,0)&amp;""</f>
        <v>Standard Importance</v>
      </c>
      <c r="J285" s="10" t="str">
        <f>VLOOKUP($A285,'Privacy Analyst Evaluation'!$A$46:$K$120,10,0)&amp;""</f>
        <v/>
      </c>
      <c r="K285" s="10">
        <f t="shared" si="64"/>
        <v>10</v>
      </c>
      <c r="L285" s="114">
        <f>IF($E285="Not Scored", "N/A",IF(AND($D285='Auto Responses'!$J$27,$H285=""),"N/A",IF(AND($D285='Auto Responses'!$J$27,$H285='Auto Responses'!$J$7),1,IF(AND($D285='Auto Responses'!$J$27,$H285='Auto Responses'!$J$8),0,IF(OR($F285=$G285,$H285='Auto Responses'!$J$7),1,0)))))</f>
        <v>1</v>
      </c>
      <c r="M285" s="10" t="str">
        <f>VLOOKUP($A285,'Privacy Analyst Evaluation'!$A$46:$K$120,10,0)&amp;""</f>
        <v/>
      </c>
      <c r="N285" s="10">
        <f t="shared" si="65"/>
        <v>0</v>
      </c>
      <c r="O285" s="114">
        <f t="shared" si="69"/>
        <v>10</v>
      </c>
      <c r="P285" s="114">
        <f t="shared" si="66"/>
        <v>10</v>
      </c>
      <c r="Q285" s="114">
        <f t="shared" si="59"/>
        <v>0</v>
      </c>
      <c r="R285" s="114">
        <f t="shared" si="67"/>
        <v>0</v>
      </c>
      <c r="S285" s="114">
        <f t="shared" si="60"/>
        <v>0</v>
      </c>
      <c r="T285" s="114">
        <f t="shared" si="61"/>
        <v>0</v>
      </c>
      <c r="U285" s="114">
        <f t="shared" si="68"/>
        <v>72</v>
      </c>
      <c r="V285" s="114">
        <f t="shared" si="62"/>
        <v>0</v>
      </c>
    </row>
    <row r="286" spans="1:22" ht="56" x14ac:dyDescent="0.3">
      <c r="A286" s="10" t="str">
        <f>Questions!$A286</f>
        <v>DRPV-07</v>
      </c>
      <c r="B286" s="10" t="str">
        <f t="shared" si="63"/>
        <v>DRPV</v>
      </c>
      <c r="C286" s="10" t="str">
        <f>VLOOKUP($A286,Questions!$A$3:$L$333,2,0)&amp;""</f>
        <v>Do you provide individuals with access to their personal information for review and update (i.e., data subject rights)?</v>
      </c>
      <c r="D286" s="10" t="str">
        <f>VLOOKUP($A286,Questions!$A$3:$L$333,11,0)&amp;""</f>
        <v/>
      </c>
      <c r="E286" s="10" t="str">
        <f>VLOOKUP($A286,Questions!$A$3:$L$333,12,0)&amp;""</f>
        <v>Privacy</v>
      </c>
      <c r="F286" s="10" t="str">
        <f>VLOOKUP($A286,'Privacy Analyst Evaluation'!$A$46:$K$120,3,0)&amp;""</f>
        <v>Yes</v>
      </c>
      <c r="G286" s="10" t="str">
        <f>VLOOKUP($A286,'Privacy Analyst Evaluation'!$A$46:$K$120,7,0)&amp;""</f>
        <v>Yes</v>
      </c>
      <c r="H286" s="10" t="str">
        <f>VLOOKUP($A286,'Privacy Analyst Evaluation'!$A$46:$K$120,8,0)&amp;""</f>
        <v/>
      </c>
      <c r="I286" s="10" t="str">
        <f>VLOOKUP($A286,'Privacy Analyst Evaluation'!$A$46:$K$120,9,0)&amp;""</f>
        <v>Standard Importance</v>
      </c>
      <c r="J286" s="10" t="str">
        <f>VLOOKUP($A286,'Privacy Analyst Evaluation'!$A$46:$K$120,10,0)&amp;""</f>
        <v/>
      </c>
      <c r="K286" s="10">
        <f t="shared" si="64"/>
        <v>10</v>
      </c>
      <c r="L286" s="114">
        <f>IF($E286="Not Scored", "N/A",IF(AND($D286='Auto Responses'!$J$27,$H286=""),"N/A",IF(AND($D286='Auto Responses'!$J$27,$H286='Auto Responses'!$J$7),1,IF(AND($D286='Auto Responses'!$J$27,$H286='Auto Responses'!$J$8),0,IF(OR($F286=$G286,$H286='Auto Responses'!$J$7),1,0)))))</f>
        <v>1</v>
      </c>
      <c r="M286" s="10" t="str">
        <f>VLOOKUP($A286,'Privacy Analyst Evaluation'!$A$46:$K$120,10,0)&amp;""</f>
        <v/>
      </c>
      <c r="N286" s="10">
        <f t="shared" si="65"/>
        <v>0</v>
      </c>
      <c r="O286" s="114">
        <f t="shared" si="69"/>
        <v>10</v>
      </c>
      <c r="P286" s="114">
        <f t="shared" si="66"/>
        <v>10</v>
      </c>
      <c r="Q286" s="114">
        <f t="shared" si="59"/>
        <v>0</v>
      </c>
      <c r="R286" s="114">
        <f t="shared" si="67"/>
        <v>0</v>
      </c>
      <c r="S286" s="114">
        <f t="shared" si="60"/>
        <v>0</v>
      </c>
      <c r="T286" s="114">
        <f t="shared" si="61"/>
        <v>0</v>
      </c>
      <c r="U286" s="114">
        <f t="shared" si="68"/>
        <v>72</v>
      </c>
      <c r="V286" s="114">
        <f t="shared" si="62"/>
        <v>0</v>
      </c>
    </row>
    <row r="287" spans="1:22" ht="56" x14ac:dyDescent="0.3">
      <c r="A287" s="10" t="str">
        <f>Questions!$A287</f>
        <v>DRPV-08</v>
      </c>
      <c r="B287" s="10" t="str">
        <f t="shared" si="63"/>
        <v>DRPV</v>
      </c>
      <c r="C287" s="10" t="str">
        <f>VLOOKUP($A287,Questions!$A$3:$L$333,2,0)&amp;""</f>
        <v>Do you disclose personal information to third parties only for the purpose(s) identified in the privacy notice or with the implicit or explicit consent of the individual?</v>
      </c>
      <c r="D287" s="10" t="str">
        <f>VLOOKUP($A287,Questions!$A$3:$L$333,11,0)&amp;""</f>
        <v/>
      </c>
      <c r="E287" s="10" t="str">
        <f>VLOOKUP($A287,Questions!$A$3:$L$333,12,0)&amp;""</f>
        <v>Privacy</v>
      </c>
      <c r="F287" s="10" t="str">
        <f>VLOOKUP($A287,'Privacy Analyst Evaluation'!$A$46:$K$120,3,0)&amp;""</f>
        <v>Yes</v>
      </c>
      <c r="G287" s="10" t="str">
        <f>VLOOKUP($A287,'Privacy Analyst Evaluation'!$A$46:$K$120,7,0)&amp;""</f>
        <v>Yes</v>
      </c>
      <c r="H287" s="10" t="str">
        <f>VLOOKUP($A287,'Privacy Analyst Evaluation'!$A$46:$K$120,8,0)&amp;""</f>
        <v/>
      </c>
      <c r="I287" s="10" t="str">
        <f>VLOOKUP($A287,'Privacy Analyst Evaluation'!$A$46:$K$120,9,0)&amp;""</f>
        <v>Standard Importance</v>
      </c>
      <c r="J287" s="10" t="str">
        <f>VLOOKUP($A287,'Privacy Analyst Evaluation'!$A$46:$K$120,10,0)&amp;""</f>
        <v/>
      </c>
      <c r="K287" s="10">
        <f t="shared" si="64"/>
        <v>10</v>
      </c>
      <c r="L287" s="114">
        <f>IF($E287="Not Scored", "N/A",IF(AND($D287='Auto Responses'!$J$27,$H287=""),"N/A",IF(AND($D287='Auto Responses'!$J$27,$H287='Auto Responses'!$J$7),1,IF(AND($D287='Auto Responses'!$J$27,$H287='Auto Responses'!$J$8),0,IF(OR($F287=$G287,$H287='Auto Responses'!$J$7),1,0)))))</f>
        <v>1</v>
      </c>
      <c r="M287" s="10" t="str">
        <f>VLOOKUP($A287,'Privacy Analyst Evaluation'!$A$46:$K$120,10,0)&amp;""</f>
        <v/>
      </c>
      <c r="N287" s="10">
        <f t="shared" si="65"/>
        <v>0</v>
      </c>
      <c r="O287" s="114">
        <f t="shared" si="69"/>
        <v>10</v>
      </c>
      <c r="P287" s="114">
        <f t="shared" si="66"/>
        <v>10</v>
      </c>
      <c r="Q287" s="114">
        <f t="shared" si="59"/>
        <v>0</v>
      </c>
      <c r="R287" s="114">
        <f t="shared" si="67"/>
        <v>0</v>
      </c>
      <c r="S287" s="114">
        <f t="shared" si="60"/>
        <v>0</v>
      </c>
      <c r="T287" s="114">
        <f t="shared" si="61"/>
        <v>0</v>
      </c>
      <c r="U287" s="114">
        <f t="shared" si="68"/>
        <v>72</v>
      </c>
      <c r="V287" s="114">
        <f t="shared" si="62"/>
        <v>0</v>
      </c>
    </row>
    <row r="288" spans="1:22" ht="56" x14ac:dyDescent="0.3">
      <c r="A288" s="10" t="str">
        <f>Questions!$A288</f>
        <v>DRPV-09</v>
      </c>
      <c r="B288" s="10" t="str">
        <f t="shared" si="63"/>
        <v>DRPV</v>
      </c>
      <c r="C288" s="10" t="str">
        <f>VLOOKUP($A288,Questions!$A$3:$L$333,2,0)&amp;""</f>
        <v>Do you protect personal information against unauthorized access (both physical and logical)?</v>
      </c>
      <c r="D288" s="10" t="str">
        <f>VLOOKUP($A288,Questions!$A$3:$L$333,11,0)&amp;""</f>
        <v/>
      </c>
      <c r="E288" s="10" t="str">
        <f>VLOOKUP($A288,Questions!$A$3:$L$333,12,0)&amp;""</f>
        <v>Privacy</v>
      </c>
      <c r="F288" s="10" t="str">
        <f>VLOOKUP($A288,'Privacy Analyst Evaluation'!$A$46:$K$120,3,0)&amp;""</f>
        <v>Yes</v>
      </c>
      <c r="G288" s="10" t="str">
        <f>VLOOKUP($A288,'Privacy Analyst Evaluation'!$A$46:$K$120,7,0)&amp;""</f>
        <v>Yes</v>
      </c>
      <c r="H288" s="10" t="str">
        <f>VLOOKUP($A288,'Privacy Analyst Evaluation'!$A$46:$K$120,8,0)&amp;""</f>
        <v/>
      </c>
      <c r="I288" s="10" t="str">
        <f>VLOOKUP($A288,'Privacy Analyst Evaluation'!$A$46:$K$120,9,0)&amp;""</f>
        <v>Standard Importance</v>
      </c>
      <c r="J288" s="10" t="str">
        <f>VLOOKUP($A288,'Privacy Analyst Evaluation'!$A$46:$K$120,10,0)&amp;""</f>
        <v/>
      </c>
      <c r="K288" s="10">
        <f t="shared" si="64"/>
        <v>10</v>
      </c>
      <c r="L288" s="114">
        <f>IF($E288="Not Scored", "N/A",IF(AND($D288='Auto Responses'!$J$27,$H288=""),"N/A",IF(AND($D288='Auto Responses'!$J$27,$H288='Auto Responses'!$J$7),1,IF(AND($D288='Auto Responses'!$J$27,$H288='Auto Responses'!$J$8),0,IF(OR($F288=$G288,$H288='Auto Responses'!$J$7),1,0)))))</f>
        <v>1</v>
      </c>
      <c r="M288" s="10" t="str">
        <f>VLOOKUP($A288,'Privacy Analyst Evaluation'!$A$46:$K$120,10,0)&amp;""</f>
        <v/>
      </c>
      <c r="N288" s="10">
        <f t="shared" si="65"/>
        <v>0</v>
      </c>
      <c r="O288" s="114">
        <f t="shared" si="69"/>
        <v>10</v>
      </c>
      <c r="P288" s="114">
        <f t="shared" si="66"/>
        <v>10</v>
      </c>
      <c r="Q288" s="114">
        <f t="shared" si="59"/>
        <v>0</v>
      </c>
      <c r="R288" s="114">
        <f t="shared" si="67"/>
        <v>0</v>
      </c>
      <c r="S288" s="114">
        <f t="shared" si="60"/>
        <v>0</v>
      </c>
      <c r="T288" s="114">
        <f t="shared" si="61"/>
        <v>0</v>
      </c>
      <c r="U288" s="114">
        <f t="shared" si="68"/>
        <v>72</v>
      </c>
      <c r="V288" s="114">
        <f t="shared" si="62"/>
        <v>0</v>
      </c>
    </row>
    <row r="289" spans="1:22" ht="56" x14ac:dyDescent="0.3">
      <c r="A289" s="10" t="str">
        <f>Questions!$A289</f>
        <v>DRPV-10</v>
      </c>
      <c r="B289" s="10" t="str">
        <f t="shared" si="63"/>
        <v>DRPV</v>
      </c>
      <c r="C289" s="10" t="str">
        <f>VLOOKUP($A289,Questions!$A$3:$L$333,2,0)&amp;""</f>
        <v>Do you maintain accurate, complete, and relevant personal information for the purposes identified in the privacy notice?</v>
      </c>
      <c r="D289" s="10" t="str">
        <f>VLOOKUP($A289,Questions!$A$3:$L$333,11,0)&amp;""</f>
        <v/>
      </c>
      <c r="E289" s="10" t="str">
        <f>VLOOKUP($A289,Questions!$A$3:$L$333,12,0)&amp;""</f>
        <v>Privacy</v>
      </c>
      <c r="F289" s="10" t="str">
        <f>VLOOKUP($A289,'Privacy Analyst Evaluation'!$A$46:$K$120,3,0)&amp;""</f>
        <v>Yes</v>
      </c>
      <c r="G289" s="10" t="str">
        <f>VLOOKUP($A289,'Privacy Analyst Evaluation'!$A$46:$K$120,7,0)&amp;""</f>
        <v>Yes</v>
      </c>
      <c r="H289" s="10" t="str">
        <f>VLOOKUP($A289,'Privacy Analyst Evaluation'!$A$46:$K$120,8,0)&amp;""</f>
        <v/>
      </c>
      <c r="I289" s="10" t="str">
        <f>VLOOKUP($A289,'Privacy Analyst Evaluation'!$A$46:$K$120,9,0)&amp;""</f>
        <v>Standard Importance</v>
      </c>
      <c r="J289" s="10" t="str">
        <f>VLOOKUP($A289,'Privacy Analyst Evaluation'!$A$46:$K$120,10,0)&amp;""</f>
        <v/>
      </c>
      <c r="K289" s="10">
        <f t="shared" si="64"/>
        <v>10</v>
      </c>
      <c r="L289" s="114">
        <f>IF($E289="Not Scored", "N/A",IF(AND($D289='Auto Responses'!$J$27,$H289=""),"N/A",IF(AND($D289='Auto Responses'!$J$27,$H289='Auto Responses'!$J$7),1,IF(AND($D289='Auto Responses'!$J$27,$H289='Auto Responses'!$J$8),0,IF(OR($F289=$G289,$H289='Auto Responses'!$J$7),1,0)))))</f>
        <v>1</v>
      </c>
      <c r="M289" s="10" t="str">
        <f>VLOOKUP($A289,'Privacy Analyst Evaluation'!$A$46:$K$120,10,0)&amp;""</f>
        <v/>
      </c>
      <c r="N289" s="10">
        <f t="shared" si="65"/>
        <v>0</v>
      </c>
      <c r="O289" s="114">
        <f t="shared" si="69"/>
        <v>10</v>
      </c>
      <c r="P289" s="114">
        <f t="shared" si="66"/>
        <v>10</v>
      </c>
      <c r="Q289" s="114">
        <f t="shared" si="59"/>
        <v>0</v>
      </c>
      <c r="R289" s="114">
        <f t="shared" si="67"/>
        <v>0</v>
      </c>
      <c r="S289" s="114">
        <f t="shared" si="60"/>
        <v>0</v>
      </c>
      <c r="T289" s="114">
        <f t="shared" si="61"/>
        <v>0</v>
      </c>
      <c r="U289" s="114">
        <f t="shared" si="68"/>
        <v>72</v>
      </c>
      <c r="V289" s="114">
        <f t="shared" si="62"/>
        <v>0</v>
      </c>
    </row>
    <row r="290" spans="1:22" ht="56" x14ac:dyDescent="0.3">
      <c r="A290" s="10" t="str">
        <f>Questions!$A290</f>
        <v>DRPV-11</v>
      </c>
      <c r="B290" s="10" t="str">
        <f t="shared" si="63"/>
        <v>DRPV</v>
      </c>
      <c r="C290" s="10" t="str">
        <f>VLOOKUP($A290,Questions!$A$3:$L$333,2,0)&amp;""</f>
        <v>Do you have procedures to address privacy-related noncompliance complaints and disputes?</v>
      </c>
      <c r="D290" s="10" t="str">
        <f>VLOOKUP($A290,Questions!$A$3:$L$333,11,0)&amp;""</f>
        <v/>
      </c>
      <c r="E290" s="10" t="str">
        <f>VLOOKUP($A290,Questions!$A$3:$L$333,12,0)&amp;""</f>
        <v>Privacy</v>
      </c>
      <c r="F290" s="10" t="str">
        <f>VLOOKUP($A290,'Privacy Analyst Evaluation'!$A$46:$K$120,3,0)&amp;""</f>
        <v>Yes</v>
      </c>
      <c r="G290" s="10" t="str">
        <f>VLOOKUP($A290,'Privacy Analyst Evaluation'!$A$46:$K$120,7,0)&amp;""</f>
        <v>Yes</v>
      </c>
      <c r="H290" s="10" t="str">
        <f>VLOOKUP($A290,'Privacy Analyst Evaluation'!$A$46:$K$120,8,0)&amp;""</f>
        <v/>
      </c>
      <c r="I290" s="10" t="str">
        <f>VLOOKUP($A290,'Privacy Analyst Evaluation'!$A$46:$K$120,9,0)&amp;""</f>
        <v>Standard Importance</v>
      </c>
      <c r="J290" s="10" t="str">
        <f>VLOOKUP($A290,'Privacy Analyst Evaluation'!$A$46:$K$120,10,0)&amp;""</f>
        <v/>
      </c>
      <c r="K290" s="10">
        <f t="shared" si="64"/>
        <v>10</v>
      </c>
      <c r="L290" s="114">
        <f>IF($E290="Not Scored", "N/A",IF(AND($D290='Auto Responses'!$J$27,$H290=""),"N/A",IF(AND($D290='Auto Responses'!$J$27,$H290='Auto Responses'!$J$7),1,IF(AND($D290='Auto Responses'!$J$27,$H290='Auto Responses'!$J$8),0,IF(OR($F290=$G290,$H290='Auto Responses'!$J$7),1,0)))))</f>
        <v>1</v>
      </c>
      <c r="M290" s="10" t="str">
        <f>VLOOKUP($A290,'Privacy Analyst Evaluation'!$A$46:$K$120,10,0)&amp;""</f>
        <v/>
      </c>
      <c r="N290" s="10">
        <f t="shared" si="65"/>
        <v>0</v>
      </c>
      <c r="O290" s="114">
        <f t="shared" si="69"/>
        <v>10</v>
      </c>
      <c r="P290" s="114">
        <f t="shared" si="66"/>
        <v>10</v>
      </c>
      <c r="Q290" s="114">
        <f t="shared" si="59"/>
        <v>0</v>
      </c>
      <c r="R290" s="114">
        <f t="shared" si="67"/>
        <v>0</v>
      </c>
      <c r="S290" s="114">
        <f t="shared" si="60"/>
        <v>0</v>
      </c>
      <c r="T290" s="114">
        <f t="shared" si="61"/>
        <v>0</v>
      </c>
      <c r="U290" s="114">
        <f t="shared" si="68"/>
        <v>72</v>
      </c>
      <c r="V290" s="114">
        <f t="shared" si="62"/>
        <v>0</v>
      </c>
    </row>
    <row r="291" spans="1:22" ht="56" x14ac:dyDescent="0.3">
      <c r="A291" s="10" t="str">
        <f>Questions!$A291</f>
        <v>DRPV-12</v>
      </c>
      <c r="B291" s="10" t="str">
        <f t="shared" si="63"/>
        <v>DRPV</v>
      </c>
      <c r="C291" s="10" t="str">
        <f>VLOOKUP($A291,Questions!$A$3:$L$333,2,0)&amp;""</f>
        <v>Do you "anonymize," "de-identify," or otherwise mask personal data?</v>
      </c>
      <c r="D291" s="10" t="str">
        <f>VLOOKUP($A291,Questions!$A$3:$L$333,11,0)&amp;""</f>
        <v/>
      </c>
      <c r="E291" s="10" t="str">
        <f>VLOOKUP($A291,Questions!$A$3:$L$333,12,0)&amp;""</f>
        <v>Privacy</v>
      </c>
      <c r="F291" s="10" t="str">
        <f>VLOOKUP($A291,'Privacy Analyst Evaluation'!$A$46:$K$120,3,0)&amp;""</f>
        <v>No</v>
      </c>
      <c r="G291" s="10" t="str">
        <f>VLOOKUP($A291,'Privacy Analyst Evaluation'!$A$46:$K$120,7,0)&amp;""</f>
        <v>Yes</v>
      </c>
      <c r="H291" s="10" t="str">
        <f>VLOOKUP($A291,'Privacy Analyst Evaluation'!$A$46:$K$120,8,0)&amp;""</f>
        <v/>
      </c>
      <c r="I291" s="10" t="str">
        <f>VLOOKUP($A291,'Privacy Analyst Evaluation'!$A$46:$K$120,9,0)&amp;""</f>
        <v>Standard Importance</v>
      </c>
      <c r="J291" s="10" t="str">
        <f>VLOOKUP($A291,'Privacy Analyst Evaluation'!$A$46:$K$120,10,0)&amp;""</f>
        <v/>
      </c>
      <c r="K291" s="10">
        <f t="shared" si="64"/>
        <v>10</v>
      </c>
      <c r="L291" s="114">
        <f>IF($E291="Not Scored", "N/A",IF(AND($D291='Auto Responses'!$J$27,$H291=""),"N/A",IF(AND($D291='Auto Responses'!$J$27,$H291='Auto Responses'!$J$7),1,IF(AND($D291='Auto Responses'!$J$27,$H291='Auto Responses'!$J$8),0,IF(OR($F291=$G291,$H291='Auto Responses'!$J$7),1,0)))))</f>
        <v>0</v>
      </c>
      <c r="M291" s="10" t="str">
        <f>VLOOKUP($A291,'Privacy Analyst Evaluation'!$A$46:$K$120,10,0)&amp;""</f>
        <v/>
      </c>
      <c r="N291" s="10">
        <f t="shared" si="65"/>
        <v>0</v>
      </c>
      <c r="O291" s="114">
        <f t="shared" si="69"/>
        <v>10</v>
      </c>
      <c r="P291" s="114">
        <f t="shared" si="66"/>
        <v>0</v>
      </c>
      <c r="Q291" s="114">
        <f t="shared" si="59"/>
        <v>0</v>
      </c>
      <c r="R291" s="114">
        <f t="shared" si="67"/>
        <v>0</v>
      </c>
      <c r="S291" s="114">
        <f t="shared" si="60"/>
        <v>0</v>
      </c>
      <c r="T291" s="114">
        <f t="shared" si="61"/>
        <v>0</v>
      </c>
      <c r="U291" s="114">
        <f t="shared" si="68"/>
        <v>72</v>
      </c>
      <c r="V291" s="114">
        <f t="shared" si="62"/>
        <v>0</v>
      </c>
    </row>
    <row r="292" spans="1:22" ht="98" x14ac:dyDescent="0.3">
      <c r="A292" s="10" t="str">
        <f>Questions!$A292</f>
        <v>DRPV-13</v>
      </c>
      <c r="B292" s="10" t="str">
        <f t="shared" si="63"/>
        <v>DRPV</v>
      </c>
      <c r="C292" s="10" t="str">
        <f>VLOOKUP($A292,Questions!$A$3:$L$333,2,0)&amp;""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D292" s="10" t="str">
        <f>VLOOKUP($A292,Questions!$A$3:$L$333,11,0)&amp;""</f>
        <v/>
      </c>
      <c r="E292" s="10" t="str">
        <f>VLOOKUP($A292,Questions!$A$3:$L$333,12,0)&amp;""</f>
        <v>Privacy</v>
      </c>
      <c r="F292" s="10" t="str">
        <f>VLOOKUP($A292,'Privacy Analyst Evaluation'!$A$46:$K$120,3,0)&amp;""</f>
        <v>No</v>
      </c>
      <c r="G292" s="10" t="str">
        <f>VLOOKUP($A292,'Privacy Analyst Evaluation'!$A$46:$K$120,7,0)&amp;""</f>
        <v>No</v>
      </c>
      <c r="H292" s="10" t="str">
        <f>VLOOKUP($A292,'Privacy Analyst Evaluation'!$A$46:$K$120,8,0)&amp;""</f>
        <v/>
      </c>
      <c r="I292" s="10" t="str">
        <f>VLOOKUP($A292,'Privacy Analyst Evaluation'!$A$46:$K$120,9,0)&amp;""</f>
        <v>Standard Importance</v>
      </c>
      <c r="J292" s="10" t="str">
        <f>VLOOKUP($A292,'Privacy Analyst Evaluation'!$A$46:$K$120,10,0)&amp;""</f>
        <v/>
      </c>
      <c r="K292" s="10">
        <f t="shared" si="64"/>
        <v>10</v>
      </c>
      <c r="L292" s="114">
        <f>IF($E292="Not Scored", "N/A",IF(AND($D292='Auto Responses'!$J$27,$H292=""),"N/A",IF(AND($D292='Auto Responses'!$J$27,$H292='Auto Responses'!$J$7),1,IF(AND($D292='Auto Responses'!$J$27,$H292='Auto Responses'!$J$8),0,IF(OR($F292=$G292,$H292='Auto Responses'!$J$7),1,0)))))</f>
        <v>1</v>
      </c>
      <c r="M292" s="10" t="str">
        <f>VLOOKUP($A292,'Privacy Analyst Evaluation'!$A$46:$K$120,10,0)&amp;""</f>
        <v/>
      </c>
      <c r="N292" s="10">
        <f t="shared" si="65"/>
        <v>0</v>
      </c>
      <c r="O292" s="114">
        <f t="shared" si="69"/>
        <v>10</v>
      </c>
      <c r="P292" s="114">
        <f t="shared" si="66"/>
        <v>10</v>
      </c>
      <c r="Q292" s="114">
        <f t="shared" si="59"/>
        <v>0</v>
      </c>
      <c r="R292" s="114">
        <f t="shared" si="67"/>
        <v>0</v>
      </c>
      <c r="S292" s="114">
        <f t="shared" si="60"/>
        <v>0</v>
      </c>
      <c r="T292" s="114">
        <f t="shared" si="61"/>
        <v>0</v>
      </c>
      <c r="U292" s="114">
        <f t="shared" si="68"/>
        <v>72</v>
      </c>
      <c r="V292" s="114">
        <f t="shared" si="62"/>
        <v>0</v>
      </c>
    </row>
    <row r="293" spans="1:22" ht="56" x14ac:dyDescent="0.3">
      <c r="A293" s="10" t="str">
        <f>Questions!$A293</f>
        <v>DRPV-14</v>
      </c>
      <c r="B293" s="10" t="str">
        <f t="shared" si="63"/>
        <v>DRPV</v>
      </c>
      <c r="C293" s="10" t="str">
        <f>VLOOKUP($A293,Questions!$A$3:$L$333,2,0)&amp;""</f>
        <v>Do you certify stop-processing requests, including any data that is processed by a third party on your behalf?</v>
      </c>
      <c r="D293" s="10" t="str">
        <f>VLOOKUP($A293,Questions!$A$3:$L$333,11,0)&amp;""</f>
        <v/>
      </c>
      <c r="E293" s="10" t="str">
        <f>VLOOKUP($A293,Questions!$A$3:$L$333,12,0)&amp;""</f>
        <v>Privacy</v>
      </c>
      <c r="F293" s="10" t="str">
        <f>VLOOKUP($A293,'Privacy Analyst Evaluation'!$A$46:$K$120,3,0)&amp;""</f>
        <v>Yes</v>
      </c>
      <c r="G293" s="10" t="str">
        <f>VLOOKUP($A293,'Privacy Analyst Evaluation'!$A$46:$K$120,7,0)&amp;""</f>
        <v>Yes</v>
      </c>
      <c r="H293" s="10" t="str">
        <f>VLOOKUP($A293,'Privacy Analyst Evaluation'!$A$46:$K$120,8,0)&amp;""</f>
        <v/>
      </c>
      <c r="I293" s="10" t="str">
        <f>VLOOKUP($A293,'Privacy Analyst Evaluation'!$A$46:$K$120,9,0)&amp;""</f>
        <v>Standard Importance</v>
      </c>
      <c r="J293" s="10" t="str">
        <f>VLOOKUP($A293,'Privacy Analyst Evaluation'!$A$46:$K$120,10,0)&amp;""</f>
        <v/>
      </c>
      <c r="K293" s="10">
        <f t="shared" si="64"/>
        <v>10</v>
      </c>
      <c r="L293" s="114">
        <f>IF($E293="Not Scored", "N/A",IF(AND($D293='Auto Responses'!$J$27,$H293=""),"N/A",IF(AND($D293='Auto Responses'!$J$27,$H293='Auto Responses'!$J$7),1,IF(AND($D293='Auto Responses'!$J$27,$H293='Auto Responses'!$J$8),0,IF(OR($F293=$G293,$H293='Auto Responses'!$J$7),1,0)))))</f>
        <v>1</v>
      </c>
      <c r="M293" s="10" t="str">
        <f>VLOOKUP($A293,'Privacy Analyst Evaluation'!$A$46:$K$120,10,0)&amp;""</f>
        <v/>
      </c>
      <c r="N293" s="10">
        <f t="shared" si="65"/>
        <v>0</v>
      </c>
      <c r="O293" s="114">
        <f t="shared" si="69"/>
        <v>10</v>
      </c>
      <c r="P293" s="114">
        <f t="shared" si="66"/>
        <v>10</v>
      </c>
      <c r="Q293" s="114">
        <f t="shared" si="59"/>
        <v>0</v>
      </c>
      <c r="R293" s="114">
        <f t="shared" si="67"/>
        <v>0</v>
      </c>
      <c r="S293" s="114">
        <f t="shared" si="60"/>
        <v>0</v>
      </c>
      <c r="T293" s="114">
        <f t="shared" si="61"/>
        <v>0</v>
      </c>
      <c r="U293" s="114">
        <f t="shared" si="68"/>
        <v>72</v>
      </c>
      <c r="V293" s="114">
        <f t="shared" si="62"/>
        <v>0</v>
      </c>
    </row>
    <row r="294" spans="1:22" ht="56" x14ac:dyDescent="0.3">
      <c r="A294" s="10" t="str">
        <f>Questions!$A294</f>
        <v>DRPV-15</v>
      </c>
      <c r="B294" s="10" t="str">
        <f t="shared" si="63"/>
        <v>DRPV</v>
      </c>
      <c r="C294" s="10" t="str">
        <f>VLOOKUP($A294,Questions!$A$3:$L$333,2,0)&amp;""</f>
        <v>Do you have a process to review code for ethical considerations?</v>
      </c>
      <c r="D294" s="10" t="str">
        <f>VLOOKUP($A294,Questions!$A$3:$L$333,11,0)&amp;""</f>
        <v/>
      </c>
      <c r="E294" s="10" t="str">
        <f>VLOOKUP($A294,Questions!$A$3:$L$333,12,0)&amp;""</f>
        <v>Privacy</v>
      </c>
      <c r="F294" s="10" t="str">
        <f>VLOOKUP($A294,'Privacy Analyst Evaluation'!$A$46:$K$120,3,0)&amp;""</f>
        <v>No</v>
      </c>
      <c r="G294" s="10" t="str">
        <f>VLOOKUP($A294,'Privacy Analyst Evaluation'!$A$46:$K$120,7,0)&amp;""</f>
        <v>Yes</v>
      </c>
      <c r="H294" s="10" t="str">
        <f>VLOOKUP($A294,'Privacy Analyst Evaluation'!$A$46:$K$120,8,0)&amp;""</f>
        <v/>
      </c>
      <c r="I294" s="10" t="str">
        <f>VLOOKUP($A294,'Privacy Analyst Evaluation'!$A$46:$K$120,9,0)&amp;""</f>
        <v>Standard Importance</v>
      </c>
      <c r="J294" s="10" t="str">
        <f>VLOOKUP($A294,'Privacy Analyst Evaluation'!$A$46:$K$120,10,0)&amp;""</f>
        <v/>
      </c>
      <c r="K294" s="10">
        <f t="shared" si="64"/>
        <v>10</v>
      </c>
      <c r="L294" s="114">
        <f>IF($E294="Not Scored", "N/A",IF(AND($D294='Auto Responses'!$J$27,$H294=""),"N/A",IF(AND($D294='Auto Responses'!$J$27,$H294='Auto Responses'!$J$7),1,IF(AND($D294='Auto Responses'!$J$27,$H294='Auto Responses'!$J$8),0,IF(OR($F294=$G294,$H294='Auto Responses'!$J$7),1,0)))))</f>
        <v>0</v>
      </c>
      <c r="M294" s="10" t="str">
        <f>VLOOKUP($A294,'Privacy Analyst Evaluation'!$A$46:$K$120,10,0)&amp;""</f>
        <v/>
      </c>
      <c r="N294" s="10">
        <f t="shared" si="65"/>
        <v>0</v>
      </c>
      <c r="O294" s="114">
        <f t="shared" si="58"/>
        <v>10</v>
      </c>
      <c r="P294" s="114">
        <f t="shared" si="66"/>
        <v>0</v>
      </c>
      <c r="Q294" s="114">
        <f t="shared" si="59"/>
        <v>0</v>
      </c>
      <c r="R294" s="114">
        <f t="shared" si="67"/>
        <v>0</v>
      </c>
      <c r="S294" s="114">
        <f t="shared" si="60"/>
        <v>0</v>
      </c>
      <c r="T294" s="114">
        <f t="shared" si="61"/>
        <v>0</v>
      </c>
      <c r="U294" s="114">
        <f t="shared" si="68"/>
        <v>72</v>
      </c>
      <c r="V294" s="114">
        <f t="shared" si="62"/>
        <v>0</v>
      </c>
    </row>
    <row r="295" spans="1:22" ht="56" x14ac:dyDescent="0.3">
      <c r="A295" s="10" t="str">
        <f>Questions!$A295</f>
        <v>DPAI-01</v>
      </c>
      <c r="B295" s="10" t="str">
        <f t="shared" si="63"/>
        <v>DPAI</v>
      </c>
      <c r="C295" s="10" t="str">
        <f>VLOOKUP($A295,Questions!$A$3:$L$333,2,0)&amp;""</f>
        <v>Does your service use AI for the processing of institutional data?</v>
      </c>
      <c r="D295" s="10" t="str">
        <f>VLOOKUP($A295,Questions!$A$3:$L$333,11,0)&amp;""</f>
        <v/>
      </c>
      <c r="E295" s="10" t="str">
        <f>VLOOKUP($A295,Questions!$A$3:$L$333,12,0)&amp;""</f>
        <v>Privacy</v>
      </c>
      <c r="F295" s="10" t="str">
        <f>VLOOKUP($A295,'Privacy Analyst Evaluation'!$A$46:$K$120,3,0)&amp;""</f>
        <v/>
      </c>
      <c r="G295" s="10" t="str">
        <f>VLOOKUP($A295,'Privacy Analyst Evaluation'!$A$46:$K$120,7,0)&amp;""</f>
        <v>No</v>
      </c>
      <c r="H295" s="10" t="str">
        <f>VLOOKUP($A295,'Privacy Analyst Evaluation'!$A$46:$K$120,8,0)&amp;""</f>
        <v/>
      </c>
      <c r="I295" s="10" t="str">
        <f>VLOOKUP($A295,'Privacy Analyst Evaluation'!$A$46:$K$120,9,0)&amp;""</f>
        <v>Standard Importance</v>
      </c>
      <c r="J295" s="10" t="str">
        <f>VLOOKUP($A295,'Privacy Analyst Evaluation'!$A$46:$K$120,10,0)&amp;""</f>
        <v/>
      </c>
      <c r="K295" s="10">
        <f t="shared" si="64"/>
        <v>10</v>
      </c>
      <c r="L295" s="114">
        <f>IF($E295="Not Scored", "N/A",IF(AND($D295='Auto Responses'!$J$27,$H295=""),"N/A",IF(AND($D295='Auto Responses'!$J$27,$H295='Auto Responses'!$J$7),1,IF(AND($D295='Auto Responses'!$J$27,$H295='Auto Responses'!$J$8),0,IF(OR($F295=$G295,$H295='Auto Responses'!$J$7),1,0)))))</f>
        <v>0</v>
      </c>
      <c r="M295" s="10" t="str">
        <f>VLOOKUP($A295,'Privacy Analyst Evaluation'!$A$46:$K$120,10,0)&amp;""</f>
        <v/>
      </c>
      <c r="N295" s="10">
        <f t="shared" si="65"/>
        <v>0</v>
      </c>
      <c r="O295" s="114">
        <f t="shared" si="58"/>
        <v>10</v>
      </c>
      <c r="P295" s="114">
        <f t="shared" si="66"/>
        <v>0</v>
      </c>
      <c r="Q295" s="114">
        <f t="shared" si="59"/>
        <v>0</v>
      </c>
      <c r="R295" s="114">
        <f t="shared" si="67"/>
        <v>0</v>
      </c>
      <c r="S295" s="114">
        <f t="shared" si="60"/>
        <v>0</v>
      </c>
      <c r="T295" s="114">
        <f t="shared" si="61"/>
        <v>0</v>
      </c>
      <c r="U295" s="114">
        <f t="shared" si="68"/>
        <v>72</v>
      </c>
      <c r="V295" s="114">
        <f t="shared" si="62"/>
        <v>0</v>
      </c>
    </row>
    <row r="296" spans="1:22" ht="56" x14ac:dyDescent="0.3">
      <c r="A296" s="10" t="str">
        <f>Questions!$A296</f>
        <v>DPAI-02</v>
      </c>
      <c r="B296" s="10" t="str">
        <f t="shared" si="63"/>
        <v>DPAI</v>
      </c>
      <c r="C296" s="10" t="str">
        <f>VLOOKUP($A296,Questions!$A$3:$L$333,2,0)&amp;""</f>
        <v>Is any institutional data retained in AI processing?*</v>
      </c>
      <c r="D296" s="10" t="str">
        <f>VLOOKUP($A296,Questions!$A$3:$L$333,11,0)&amp;""</f>
        <v/>
      </c>
      <c r="E296" s="10" t="str">
        <f>VLOOKUP($A296,Questions!$A$3:$L$333,12,0)&amp;""</f>
        <v>Privacy</v>
      </c>
      <c r="F296" s="10" t="str">
        <f>VLOOKUP($A296,'Privacy Analyst Evaluation'!$A$46:$K$120,3,0)&amp;""</f>
        <v/>
      </c>
      <c r="G296" s="10" t="str">
        <f>VLOOKUP($A296,'Privacy Analyst Evaluation'!$A$46:$K$120,7,0)&amp;""</f>
        <v>No</v>
      </c>
      <c r="H296" s="10" t="str">
        <f>VLOOKUP($A296,'Privacy Analyst Evaluation'!$A$46:$K$120,8,0)&amp;""</f>
        <v/>
      </c>
      <c r="I296" s="10" t="str">
        <f>VLOOKUP($A296,'Privacy Analyst Evaluation'!$A$46:$K$120,9,0)&amp;""</f>
        <v>Critical Importance</v>
      </c>
      <c r="J296" s="10" t="str">
        <f>VLOOKUP($A296,'Privacy Analyst Evaluation'!$A$46:$K$120,10,0)&amp;""</f>
        <v/>
      </c>
      <c r="K296" s="10">
        <f t="shared" si="64"/>
        <v>20</v>
      </c>
      <c r="L296" s="114">
        <f>IF($E296="Not Scored", "N/A",IF(AND($D296='Auto Responses'!$J$27,$H296=""),"N/A",IF(AND($D296='Auto Responses'!$J$27,$H296='Auto Responses'!$J$7),1,IF(AND($D296='Auto Responses'!$J$27,$H296='Auto Responses'!$J$8),0,IF(OR($F296=$G296,$H296='Auto Responses'!$J$7),1,0)))))</f>
        <v>0</v>
      </c>
      <c r="M296" s="10" t="str">
        <f>VLOOKUP($A296,'Privacy Analyst Evaluation'!$A$46:$K$120,10,0)&amp;""</f>
        <v/>
      </c>
      <c r="N296" s="10">
        <f t="shared" si="65"/>
        <v>1</v>
      </c>
      <c r="O296" s="114">
        <f>IF(OR($E296="Not Scored",$F296="N/A",$F$24="No"),"N/A",IF($J296="",$K296,IF($J296="Minor Importance",5,IF($J296="Standard Importance",10,IF($J296="Critical Importance",20,0)))))</f>
        <v>20</v>
      </c>
      <c r="P296" s="114">
        <f t="shared" si="66"/>
        <v>0</v>
      </c>
      <c r="Q296" s="114">
        <f t="shared" si="59"/>
        <v>0</v>
      </c>
      <c r="R296" s="114">
        <f t="shared" si="67"/>
        <v>0</v>
      </c>
      <c r="S296" s="114">
        <f t="shared" si="60"/>
        <v>0</v>
      </c>
      <c r="T296" s="114">
        <f t="shared" si="61"/>
        <v>1</v>
      </c>
      <c r="U296" s="114">
        <f t="shared" si="68"/>
        <v>73</v>
      </c>
      <c r="V296" s="114">
        <f t="shared" si="62"/>
        <v>73</v>
      </c>
    </row>
    <row r="297" spans="1:22" ht="56" x14ac:dyDescent="0.3">
      <c r="A297" s="10" t="str">
        <f>Questions!$A297</f>
        <v>DPAI-03</v>
      </c>
      <c r="B297" s="10" t="str">
        <f t="shared" si="63"/>
        <v>DPAI</v>
      </c>
      <c r="C297" s="10" t="str">
        <f>VLOOKUP($A297,Questions!$A$3:$L$333,2,0)&amp;""</f>
        <v>Do you have agreements in place with third parties or subprocessors regarding the protection of customer data and use of AI?*</v>
      </c>
      <c r="D297" s="10" t="str">
        <f>VLOOKUP($A297,Questions!$A$3:$L$333,11,0)&amp;""</f>
        <v/>
      </c>
      <c r="E297" s="10" t="str">
        <f>VLOOKUP($A297,Questions!$A$3:$L$333,12,0)&amp;""</f>
        <v>Privacy</v>
      </c>
      <c r="F297" s="10" t="str">
        <f>VLOOKUP($A297,'Privacy Analyst Evaluation'!$A$46:$K$120,3,0)&amp;""</f>
        <v/>
      </c>
      <c r="G297" s="10" t="str">
        <f>VLOOKUP($A297,'Privacy Analyst Evaluation'!$A$46:$K$120,7,0)&amp;""</f>
        <v>Yes</v>
      </c>
      <c r="H297" s="10" t="str">
        <f>VLOOKUP($A297,'Privacy Analyst Evaluation'!$A$46:$K$120,8,0)&amp;""</f>
        <v/>
      </c>
      <c r="I297" s="10" t="str">
        <f>VLOOKUP($A297,'Privacy Analyst Evaluation'!$A$46:$K$120,9,0)&amp;""</f>
        <v>Critical Importance</v>
      </c>
      <c r="J297" s="10" t="str">
        <f>VLOOKUP($A297,'Privacy Analyst Evaluation'!$A$46:$K$120,10,0)&amp;""</f>
        <v/>
      </c>
      <c r="K297" s="10">
        <f t="shared" si="64"/>
        <v>20</v>
      </c>
      <c r="L297" s="114">
        <f>IF($E297="Not Scored", "N/A",IF(AND($D297='Auto Responses'!$J$27,$H297=""),"N/A",IF(AND($D297='Auto Responses'!$J$27,$H297='Auto Responses'!$J$7),1,IF(AND($D297='Auto Responses'!$J$27,$H297='Auto Responses'!$J$8),0,IF(OR($F297=$G297,$H297='Auto Responses'!$J$7),1,0)))))</f>
        <v>0</v>
      </c>
      <c r="M297" s="10" t="str">
        <f>VLOOKUP($A297,'Privacy Analyst Evaluation'!$A$46:$K$120,10,0)&amp;""</f>
        <v/>
      </c>
      <c r="N297" s="10">
        <f t="shared" si="65"/>
        <v>1</v>
      </c>
      <c r="O297" s="114">
        <f>IF(OR($E297="Not Scored",$F297="N/A",$F$24="No"),"N/A",IF($J297="",$K297,IF($J297="Minor Importance",5,IF($J297="Standard Importance",10,IF($J297="Critical Importance",20,0)))))</f>
        <v>20</v>
      </c>
      <c r="P297" s="114">
        <f t="shared" si="66"/>
        <v>0</v>
      </c>
      <c r="Q297" s="114">
        <f t="shared" si="59"/>
        <v>0</v>
      </c>
      <c r="R297" s="114">
        <f t="shared" si="67"/>
        <v>0</v>
      </c>
      <c r="S297" s="114">
        <f t="shared" si="60"/>
        <v>0</v>
      </c>
      <c r="T297" s="114">
        <f t="shared" si="61"/>
        <v>1</v>
      </c>
      <c r="U297" s="114">
        <f t="shared" si="68"/>
        <v>74</v>
      </c>
      <c r="V297" s="114">
        <f t="shared" si="62"/>
        <v>74</v>
      </c>
    </row>
    <row r="298" spans="1:22" ht="56" x14ac:dyDescent="0.3">
      <c r="A298" s="10" t="str">
        <f>Questions!$A298</f>
        <v>DPAI-04</v>
      </c>
      <c r="B298" s="10" t="str">
        <f t="shared" si="63"/>
        <v>DPAI</v>
      </c>
      <c r="C298" s="10" t="str">
        <f>VLOOKUP($A298,Questions!$A$3:$L$333,2,0)&amp;""</f>
        <v>Will institutional data be processed through a third party or subprocessor that also uses AI?</v>
      </c>
      <c r="D298" s="10" t="str">
        <f>VLOOKUP($A298,Questions!$A$3:$L$333,11,0)&amp;""</f>
        <v/>
      </c>
      <c r="E298" s="10" t="str">
        <f>VLOOKUP($A298,Questions!$A$3:$L$333,12,0)&amp;""</f>
        <v>Privacy</v>
      </c>
      <c r="F298" s="10" t="str">
        <f>VLOOKUP($A298,'Privacy Analyst Evaluation'!$A$46:$K$120,3,0)&amp;""</f>
        <v/>
      </c>
      <c r="G298" s="10" t="str">
        <f>VLOOKUP($A298,'Privacy Analyst Evaluation'!$A$46:$K$120,7,0)&amp;""</f>
        <v>No</v>
      </c>
      <c r="H298" s="10" t="str">
        <f>VLOOKUP($A298,'Privacy Analyst Evaluation'!$A$46:$K$120,8,0)&amp;""</f>
        <v/>
      </c>
      <c r="I298" s="10" t="str">
        <f>VLOOKUP($A298,'Privacy Analyst Evaluation'!$A$46:$K$120,9,0)&amp;""</f>
        <v>Standard Importance</v>
      </c>
      <c r="J298" s="10" t="str">
        <f>VLOOKUP($A298,'Privacy Analyst Evaluation'!$A$46:$K$120,10,0)&amp;""</f>
        <v/>
      </c>
      <c r="K298" s="10">
        <f t="shared" si="64"/>
        <v>10</v>
      </c>
      <c r="L298" s="114">
        <f>IF($E298="Not Scored", "N/A",IF(AND($D298='Auto Responses'!$J$27,$H298=""),"N/A",IF(AND($D298='Auto Responses'!$J$27,$H298='Auto Responses'!$J$7),1,IF(AND($D298='Auto Responses'!$J$27,$H298='Auto Responses'!$J$8),0,IF(OR($F298=$G298,$H298='Auto Responses'!$J$7),1,0)))))</f>
        <v>0</v>
      </c>
      <c r="M298" s="10" t="str">
        <f>VLOOKUP($A298,'Privacy Analyst Evaluation'!$A$46:$K$120,10,0)&amp;""</f>
        <v/>
      </c>
      <c r="N298" s="10">
        <f t="shared" si="65"/>
        <v>0</v>
      </c>
      <c r="O298" s="114">
        <f t="shared" si="58"/>
        <v>10</v>
      </c>
      <c r="P298" s="114">
        <f t="shared" si="66"/>
        <v>0</v>
      </c>
      <c r="Q298" s="114">
        <f t="shared" si="59"/>
        <v>0</v>
      </c>
      <c r="R298" s="114">
        <f t="shared" si="67"/>
        <v>0</v>
      </c>
      <c r="S298" s="114">
        <f t="shared" si="60"/>
        <v>0</v>
      </c>
      <c r="T298" s="114">
        <f t="shared" si="61"/>
        <v>0</v>
      </c>
      <c r="U298" s="114">
        <f t="shared" si="68"/>
        <v>74</v>
      </c>
      <c r="V298" s="114">
        <f t="shared" si="62"/>
        <v>0</v>
      </c>
    </row>
    <row r="299" spans="1:22" ht="56" x14ac:dyDescent="0.3">
      <c r="A299" s="10" t="str">
        <f>Questions!$A299</f>
        <v>DPAI-05</v>
      </c>
      <c r="B299" s="10" t="str">
        <f t="shared" si="63"/>
        <v>DPAI</v>
      </c>
      <c r="C299" s="10" t="str">
        <f>VLOOKUP($A299,Questions!$A$3:$L$333,2,0)&amp;""</f>
        <v>Is AI processing limited to fully licensed commercial enterprise AI services?</v>
      </c>
      <c r="D299" s="10" t="str">
        <f>VLOOKUP($A299,Questions!$A$3:$L$333,11,0)&amp;""</f>
        <v/>
      </c>
      <c r="E299" s="10" t="str">
        <f>VLOOKUP($A299,Questions!$A$3:$L$333,12,0)&amp;""</f>
        <v>Privacy</v>
      </c>
      <c r="F299" s="10" t="str">
        <f>VLOOKUP($A299,'Privacy Analyst Evaluation'!$A$46:$K$120,3,0)&amp;""</f>
        <v/>
      </c>
      <c r="G299" s="10" t="str">
        <f>VLOOKUP($A299,'Privacy Analyst Evaluation'!$A$46:$K$120,7,0)&amp;""</f>
        <v>Yes</v>
      </c>
      <c r="H299" s="10" t="str">
        <f>VLOOKUP($A299,'Privacy Analyst Evaluation'!$A$46:$K$120,8,0)&amp;""</f>
        <v/>
      </c>
      <c r="I299" s="10" t="str">
        <f>VLOOKUP($A299,'Privacy Analyst Evaluation'!$A$46:$K$120,9,0)&amp;""</f>
        <v>Minor Importance</v>
      </c>
      <c r="J299" s="10" t="str">
        <f>VLOOKUP($A299,'Privacy Analyst Evaluation'!$A$46:$K$120,10,0)&amp;""</f>
        <v/>
      </c>
      <c r="K299" s="10">
        <f t="shared" si="64"/>
        <v>5</v>
      </c>
      <c r="L299" s="114">
        <f>IF($E299="Not Scored", "N/A",IF(AND($D299='Auto Responses'!$J$27,$H299=""),"N/A",IF(AND($D299='Auto Responses'!$J$27,$H299='Auto Responses'!$J$7),1,IF(AND($D299='Auto Responses'!$J$27,$H299='Auto Responses'!$J$8),0,IF(OR($F299=$G299,$H299='Auto Responses'!$J$7),1,0)))))</f>
        <v>0</v>
      </c>
      <c r="M299" s="10" t="str">
        <f>VLOOKUP($A299,'Privacy Analyst Evaluation'!$A$46:$K$120,10,0)&amp;""</f>
        <v/>
      </c>
      <c r="N299" s="10">
        <f t="shared" si="65"/>
        <v>0</v>
      </c>
      <c r="O299" s="114">
        <f>IF(OR($E299="Not Scored",$F299="N/A",$F$24="No"),"N/A",IF($J299="",$K299,IF($J299="Minor Importance",5,IF($J299="Standard Importance",10,IF($J299="Critical Importance",20,0)))))</f>
        <v>5</v>
      </c>
      <c r="P299" s="114">
        <f t="shared" si="66"/>
        <v>0</v>
      </c>
      <c r="Q299" s="114">
        <f t="shared" si="59"/>
        <v>0</v>
      </c>
      <c r="R299" s="114">
        <f t="shared" si="67"/>
        <v>0</v>
      </c>
      <c r="S299" s="114">
        <f t="shared" si="60"/>
        <v>0</v>
      </c>
      <c r="T299" s="114">
        <f t="shared" si="61"/>
        <v>0</v>
      </c>
      <c r="U299" s="114">
        <f t="shared" si="68"/>
        <v>74</v>
      </c>
      <c r="V299" s="114">
        <f t="shared" si="62"/>
        <v>0</v>
      </c>
    </row>
    <row r="300" spans="1:22" ht="56" x14ac:dyDescent="0.3">
      <c r="A300" s="10" t="str">
        <f>Questions!$A300</f>
        <v>DPAI-06</v>
      </c>
      <c r="B300" s="10" t="str">
        <f t="shared" si="63"/>
        <v>DPAI</v>
      </c>
      <c r="C300" s="10" t="str">
        <f>VLOOKUP($A300,Questions!$A$3:$L$333,2,0)&amp;""</f>
        <v>Will institutional data be used or processed by any shared AI services?</v>
      </c>
      <c r="D300" s="10" t="str">
        <f>VLOOKUP($A300,Questions!$A$3:$L$333,11,0)&amp;""</f>
        <v/>
      </c>
      <c r="E300" s="10" t="str">
        <f>VLOOKUP($A300,Questions!$A$3:$L$333,12,0)&amp;""</f>
        <v>Privacy</v>
      </c>
      <c r="F300" s="10" t="str">
        <f>VLOOKUP($A300,'Privacy Analyst Evaluation'!$A$46:$K$120,3,0)&amp;""</f>
        <v/>
      </c>
      <c r="G300" s="10" t="str">
        <f>VLOOKUP($A300,'Privacy Analyst Evaluation'!$A$46:$K$120,7,0)&amp;""</f>
        <v>No</v>
      </c>
      <c r="H300" s="10" t="str">
        <f>VLOOKUP($A300,'Privacy Analyst Evaluation'!$A$46:$K$120,8,0)&amp;""</f>
        <v/>
      </c>
      <c r="I300" s="10" t="str">
        <f>VLOOKUP($A300,'Privacy Analyst Evaluation'!$A$46:$K$120,9,0)&amp;""</f>
        <v>Minor Importance</v>
      </c>
      <c r="J300" s="10" t="str">
        <f>VLOOKUP($A300,'Privacy Analyst Evaluation'!$A$46:$K$120,10,0)&amp;""</f>
        <v/>
      </c>
      <c r="K300" s="10">
        <f t="shared" si="64"/>
        <v>5</v>
      </c>
      <c r="L300" s="114">
        <f>IF($E300="Not Scored", "N/A",IF(AND($D300='Auto Responses'!$J$27,$H300=""),"N/A",IF(AND($D300='Auto Responses'!$J$27,$H300='Auto Responses'!$J$7),1,IF(AND($D300='Auto Responses'!$J$27,$H300='Auto Responses'!$J$8),0,IF(OR($F300=$G300,$H300='Auto Responses'!$J$7),1,0)))))</f>
        <v>0</v>
      </c>
      <c r="M300" s="10" t="str">
        <f>VLOOKUP($A300,'Privacy Analyst Evaluation'!$A$46:$K$120,10,0)&amp;""</f>
        <v/>
      </c>
      <c r="N300" s="10">
        <f t="shared" si="65"/>
        <v>0</v>
      </c>
      <c r="O300" s="114">
        <f t="shared" si="58"/>
        <v>5</v>
      </c>
      <c r="P300" s="114">
        <f t="shared" si="66"/>
        <v>0</v>
      </c>
      <c r="Q300" s="114">
        <f t="shared" si="59"/>
        <v>0</v>
      </c>
      <c r="R300" s="114">
        <f t="shared" si="67"/>
        <v>0</v>
      </c>
      <c r="S300" s="114">
        <f t="shared" si="60"/>
        <v>0</v>
      </c>
      <c r="T300" s="114">
        <f t="shared" si="61"/>
        <v>0</v>
      </c>
      <c r="U300" s="114">
        <f t="shared" si="68"/>
        <v>74</v>
      </c>
      <c r="V300" s="114">
        <f t="shared" si="62"/>
        <v>0</v>
      </c>
    </row>
    <row r="301" spans="1:22" ht="56" x14ac:dyDescent="0.3">
      <c r="A301" s="10" t="str">
        <f>Questions!$A301</f>
        <v>DPAI-07</v>
      </c>
      <c r="B301" s="10" t="str">
        <f t="shared" si="63"/>
        <v>DPAI</v>
      </c>
      <c r="C301" s="10" t="str">
        <f>VLOOKUP($A301,Questions!$A$3:$L$333,2,0)&amp;""</f>
        <v>Do you have safeguards in place to protect institutional data and data privacy from unintended AI queries or processing?</v>
      </c>
      <c r="D301" s="10" t="str">
        <f>VLOOKUP($A301,Questions!$A$3:$L$333,11,0)&amp;""</f>
        <v/>
      </c>
      <c r="E301" s="10" t="str">
        <f>VLOOKUP($A301,Questions!$A$3:$L$333,12,0)&amp;""</f>
        <v>Privacy</v>
      </c>
      <c r="F301" s="10" t="str">
        <f>VLOOKUP($A301,'Privacy Analyst Evaluation'!$A$46:$K$120,3,0)&amp;""</f>
        <v/>
      </c>
      <c r="G301" s="10" t="str">
        <f>VLOOKUP($A301,'Privacy Analyst Evaluation'!$A$46:$K$120,7,0)&amp;""</f>
        <v>Yes</v>
      </c>
      <c r="H301" s="10" t="str">
        <f>VLOOKUP($A301,'Privacy Analyst Evaluation'!$A$46:$K$120,8,0)&amp;""</f>
        <v/>
      </c>
      <c r="I301" s="10" t="str">
        <f>VLOOKUP($A301,'Privacy Analyst Evaluation'!$A$46:$K$120,9,0)&amp;""</f>
        <v>Minor Importance</v>
      </c>
      <c r="J301" s="10" t="str">
        <f>VLOOKUP($A301,'Privacy Analyst Evaluation'!$A$46:$K$120,10,0)&amp;""</f>
        <v/>
      </c>
      <c r="K301" s="10">
        <f t="shared" si="64"/>
        <v>5</v>
      </c>
      <c r="L301" s="114">
        <f>IF($E301="Not Scored", "N/A",IF(AND($D301='Auto Responses'!$J$27,$H301=""),"N/A",IF(AND($D301='Auto Responses'!$J$27,$H301='Auto Responses'!$J$7),1,IF(AND($D301='Auto Responses'!$J$27,$H301='Auto Responses'!$J$8),0,IF(OR($F301=$G301,$H301='Auto Responses'!$J$7),1,0)))))</f>
        <v>0</v>
      </c>
      <c r="M301" s="10" t="str">
        <f>VLOOKUP($A301,'Privacy Analyst Evaluation'!$A$46:$K$120,10,0)&amp;""</f>
        <v/>
      </c>
      <c r="N301" s="10">
        <f t="shared" si="65"/>
        <v>0</v>
      </c>
      <c r="O301" s="114">
        <f t="shared" si="58"/>
        <v>5</v>
      </c>
      <c r="P301" s="114">
        <f t="shared" si="66"/>
        <v>0</v>
      </c>
      <c r="Q301" s="114">
        <f t="shared" si="59"/>
        <v>0</v>
      </c>
      <c r="R301" s="114">
        <f t="shared" si="67"/>
        <v>0</v>
      </c>
      <c r="S301" s="114">
        <f t="shared" si="60"/>
        <v>0</v>
      </c>
      <c r="T301" s="114">
        <f t="shared" si="61"/>
        <v>0</v>
      </c>
      <c r="U301" s="114">
        <f t="shared" si="68"/>
        <v>74</v>
      </c>
      <c r="V301" s="114">
        <f t="shared" si="62"/>
        <v>0</v>
      </c>
    </row>
    <row r="302" spans="1:22" ht="56" x14ac:dyDescent="0.3">
      <c r="A302" s="10" t="str">
        <f>Questions!$A302</f>
        <v>DPAI-08</v>
      </c>
      <c r="B302" s="10" t="str">
        <f t="shared" si="63"/>
        <v>DPAI</v>
      </c>
      <c r="C302" s="10" t="str">
        <f>VLOOKUP($A302,Questions!$A$3:$L$333,2,0)&amp;""</f>
        <v>Do you provide choice to the user to opt out of AI use?</v>
      </c>
      <c r="D302" s="10" t="str">
        <f>VLOOKUP($A302,Questions!$A$3:$L$333,11,0)&amp;""</f>
        <v/>
      </c>
      <c r="E302" s="10" t="str">
        <f>VLOOKUP($A302,Questions!$A$3:$L$333,12,0)&amp;""</f>
        <v>Privacy</v>
      </c>
      <c r="F302" s="10" t="str">
        <f>VLOOKUP($A302,'Privacy Analyst Evaluation'!$A$46:$K$120,3,0)&amp;""</f>
        <v/>
      </c>
      <c r="G302" s="10" t="str">
        <f>VLOOKUP($A302,'Privacy Analyst Evaluation'!$A$46:$K$120,7,0)&amp;""</f>
        <v>Yes</v>
      </c>
      <c r="H302" s="10" t="str">
        <f>VLOOKUP($A302,'Privacy Analyst Evaluation'!$A$46:$K$120,8,0)&amp;""</f>
        <v/>
      </c>
      <c r="I302" s="10" t="str">
        <f>VLOOKUP($A302,'Privacy Analyst Evaluation'!$A$46:$K$120,9,0)&amp;""</f>
        <v>Minor Importance</v>
      </c>
      <c r="J302" s="10" t="str">
        <f>VLOOKUP($A302,'Privacy Analyst Evaluation'!$A$46:$K$120,10,0)&amp;""</f>
        <v/>
      </c>
      <c r="K302" s="10">
        <f t="shared" si="64"/>
        <v>5</v>
      </c>
      <c r="L302" s="114">
        <f>IF($E302="Not Scored", "N/A",IF(AND($D302='Auto Responses'!$J$27,$H302=""),"N/A",IF(AND($D302='Auto Responses'!$J$27,$H302='Auto Responses'!$J$7),1,IF(AND($D302='Auto Responses'!$J$27,$H302='Auto Responses'!$J$8),0,IF(OR($F302=$G302,$H302='Auto Responses'!$J$7),1,0)))))</f>
        <v>0</v>
      </c>
      <c r="M302" s="10" t="str">
        <f>VLOOKUP($A302,'Privacy Analyst Evaluation'!$A$46:$K$120,10,0)&amp;""</f>
        <v/>
      </c>
      <c r="N302" s="10">
        <f t="shared" si="65"/>
        <v>0</v>
      </c>
      <c r="O302" s="114">
        <f>IF(OR($E302="Not Scored",$F302="N/A",$F$24="No"),"N/A",IF($J302="",$K302,IF($J302="Minor Importance",5,IF($J302="Standard Importance",10,IF($J302="Critical Importance",20,0)))))</f>
        <v>5</v>
      </c>
      <c r="P302" s="114">
        <f t="shared" si="66"/>
        <v>0</v>
      </c>
      <c r="Q302" s="114">
        <f t="shared" si="59"/>
        <v>0</v>
      </c>
      <c r="R302" s="114">
        <f t="shared" si="67"/>
        <v>0</v>
      </c>
      <c r="S302" s="114">
        <f t="shared" si="60"/>
        <v>0</v>
      </c>
      <c r="T302" s="114">
        <f t="shared" si="61"/>
        <v>0</v>
      </c>
      <c r="U302" s="114">
        <f t="shared" si="68"/>
        <v>74</v>
      </c>
      <c r="V302" s="114">
        <f t="shared" si="62"/>
        <v>0</v>
      </c>
    </row>
    <row r="303" spans="1:22" ht="56" x14ac:dyDescent="0.3">
      <c r="A303" s="10" t="str">
        <f>Questions!$A303</f>
        <v>AIQU-01</v>
      </c>
      <c r="B303" s="10" t="str">
        <f t="shared" si="63"/>
        <v>AIQU</v>
      </c>
      <c r="C303" s="10" t="str">
        <f>VLOOKUP($A303,Questions!$A$3:$L$333,2,0)&amp;""</f>
        <v>Does your solution leverage machine learning (ML) or do you plan to do so in the next 12 months?</v>
      </c>
      <c r="D303" s="10" t="str">
        <f>VLOOKUP($A303,Questions!$A$3:$L$333,11,0)&amp;""</f>
        <v>NA</v>
      </c>
      <c r="E303" s="10" t="str">
        <f>VLOOKUP($A303,Questions!$A$3:$L$333,12,0)&amp;""</f>
        <v>Not scored</v>
      </c>
      <c r="F303" s="10" t="str">
        <f>VLOOKUP($A303,'Institution Evaluation'!$A$56:$K$346,3,0)&amp;""</f>
        <v/>
      </c>
      <c r="G303" s="10" t="str">
        <f>VLOOKUP($A303,'Institution Evaluation'!$A$56:$K$346,7,0)&amp;""</f>
        <v>Not scored</v>
      </c>
      <c r="H303" s="10" t="str">
        <f>VLOOKUP($A303,'Institution Evaluation'!$A$56:$K$346,8,0)&amp;""</f>
        <v/>
      </c>
      <c r="I303" s="10" t="str">
        <f>VLOOKUP($A303,'Institution Evaluation'!$A$56:$K$346,9,0)&amp;""</f>
        <v/>
      </c>
      <c r="J303" s="10" t="str">
        <f>VLOOKUP($A303,'Institution Evaluation'!$A$56:$K$346,10,0)&amp;""</f>
        <v/>
      </c>
      <c r="K303" s="10">
        <f t="shared" si="64"/>
        <v>10</v>
      </c>
      <c r="L303" s="114" t="str">
        <f>IF($E303="Not Scored", "N/A",IF(AND($D303='Auto Responses'!$J$27,$H303=""),"N/A",IF(AND($D303='Auto Responses'!$J$27,$H303='Auto Responses'!$J$7),1,IF(AND($D303='Auto Responses'!$J$27,$H303='Auto Responses'!$J$8),0,IF(OR($F303=$G303,$H303='Auto Responses'!$J$7),1,0)))))</f>
        <v>N/A</v>
      </c>
      <c r="M303" s="10" t="str">
        <f>VLOOKUP($A303,'Institution Evaluation'!$A$56:$K$346,10,0)&amp;""</f>
        <v/>
      </c>
      <c r="N303" s="10">
        <f t="shared" si="65"/>
        <v>0</v>
      </c>
      <c r="O303" s="114" t="str">
        <f t="shared" ref="O303:O319" si="70">IF(OR($F$20="No",$E303="Not Scored"),"N/A",IF($J303="",$K303,IF($J303="Minor Importance",5,IF($J303="Standard Importance",10,IF($J303="Critical Importance",20,0)))))</f>
        <v>N/A</v>
      </c>
      <c r="P303" s="114" t="str">
        <f t="shared" si="66"/>
        <v>N/A</v>
      </c>
      <c r="Q303" s="114">
        <f t="shared" si="59"/>
        <v>0</v>
      </c>
      <c r="R303" s="114">
        <f t="shared" si="67"/>
        <v>0</v>
      </c>
      <c r="S303" s="114">
        <f t="shared" si="60"/>
        <v>0</v>
      </c>
      <c r="T303" s="114">
        <f t="shared" si="61"/>
        <v>0</v>
      </c>
      <c r="U303" s="114">
        <f t="shared" si="68"/>
        <v>74</v>
      </c>
      <c r="V303" s="114">
        <f t="shared" si="62"/>
        <v>0</v>
      </c>
    </row>
    <row r="304" spans="1:22" ht="56" x14ac:dyDescent="0.3">
      <c r="A304" s="10" t="str">
        <f>Questions!$A304</f>
        <v>AIQU-02</v>
      </c>
      <c r="B304" s="10" t="str">
        <f t="shared" si="63"/>
        <v>AIQU</v>
      </c>
      <c r="C304" s="10" t="str">
        <f>VLOOKUP($A304,Questions!$A$3:$L$333,2,0)&amp;""</f>
        <v>Does your solution leverage a large language model (LLM) or do you plan to do so in the next 12 months?</v>
      </c>
      <c r="D304" s="10" t="str">
        <f>VLOOKUP($A304,Questions!$A$3:$L$333,11,0)&amp;""</f>
        <v>NA</v>
      </c>
      <c r="E304" s="10" t="str">
        <f>VLOOKUP($A304,Questions!$A$3:$L$333,12,0)&amp;""</f>
        <v>Not scored</v>
      </c>
      <c r="F304" s="10" t="str">
        <f>VLOOKUP($A304,'Institution Evaluation'!$A$56:$K$346,3,0)&amp;""</f>
        <v/>
      </c>
      <c r="G304" s="10" t="str">
        <f>VLOOKUP($A304,'Institution Evaluation'!$A$56:$K$346,7,0)&amp;""</f>
        <v>Not scored</v>
      </c>
      <c r="H304" s="10" t="str">
        <f>VLOOKUP($A304,'Institution Evaluation'!$A$56:$K$346,8,0)&amp;""</f>
        <v/>
      </c>
      <c r="I304" s="10" t="str">
        <f>VLOOKUP($A304,'Institution Evaluation'!$A$56:$K$346,9,0)&amp;""</f>
        <v/>
      </c>
      <c r="J304" s="10" t="str">
        <f>VLOOKUP($A304,'Institution Evaluation'!$A$56:$K$346,10,0)&amp;""</f>
        <v/>
      </c>
      <c r="K304" s="10">
        <f t="shared" si="64"/>
        <v>10</v>
      </c>
      <c r="L304" s="114" t="str">
        <f>IF($E304="Not Scored", "N/A",IF(AND($D304='Auto Responses'!$J$27,$H304=""),"N/A",IF(AND($D304='Auto Responses'!$J$27,$H304='Auto Responses'!$J$7),1,IF(AND($D304='Auto Responses'!$J$27,$H304='Auto Responses'!$J$8),0,IF(OR($F304=$G304,$H304='Auto Responses'!$J$7),1,0)))))</f>
        <v>N/A</v>
      </c>
      <c r="M304" s="10" t="str">
        <f>VLOOKUP($A304,'Institution Evaluation'!$A$56:$K$346,10,0)&amp;""</f>
        <v/>
      </c>
      <c r="N304" s="10">
        <f t="shared" si="65"/>
        <v>0</v>
      </c>
      <c r="O304" s="114" t="str">
        <f t="shared" si="70"/>
        <v>N/A</v>
      </c>
      <c r="P304" s="114" t="str">
        <f t="shared" si="66"/>
        <v>N/A</v>
      </c>
      <c r="Q304" s="114">
        <f t="shared" si="59"/>
        <v>0</v>
      </c>
      <c r="R304" s="114">
        <f t="shared" si="67"/>
        <v>0</v>
      </c>
      <c r="S304" s="114">
        <f t="shared" si="60"/>
        <v>0</v>
      </c>
      <c r="T304" s="114">
        <f t="shared" si="61"/>
        <v>0</v>
      </c>
      <c r="U304" s="114">
        <f t="shared" si="68"/>
        <v>74</v>
      </c>
      <c r="V304" s="114">
        <f t="shared" si="62"/>
        <v>0</v>
      </c>
    </row>
    <row r="305" spans="1:22" ht="56" x14ac:dyDescent="0.3">
      <c r="A305" s="10" t="str">
        <f>Questions!$A305</f>
        <v>AIGN-01</v>
      </c>
      <c r="B305" s="10" t="str">
        <f t="shared" si="63"/>
        <v>AIGN</v>
      </c>
      <c r="C305" s="10" t="str">
        <f>VLOOKUP($A305,Questions!$A$3:$L$333,2,0)&amp;""</f>
        <v>Does your solution have an AI risk model when developing or implementing your solution's AI model?*</v>
      </c>
      <c r="D305" s="10" t="str">
        <f>VLOOKUP($A305,Questions!$A$3:$L$333,11,0)&amp;""</f>
        <v/>
      </c>
      <c r="E305" s="10" t="str">
        <f>VLOOKUP($A305,Questions!$A$3:$L$333,12,0)&amp;""</f>
        <v>AI</v>
      </c>
      <c r="F305" s="10" t="str">
        <f>VLOOKUP($A305,'Institution Evaluation'!$A$56:$K$346,3,0)&amp;""</f>
        <v/>
      </c>
      <c r="G305" s="10" t="str">
        <f>VLOOKUP($A305,'Institution Evaluation'!$A$56:$K$346,7,0)&amp;""</f>
        <v>Yes</v>
      </c>
      <c r="H305" s="10" t="str">
        <f>VLOOKUP($A305,'Institution Evaluation'!$A$56:$K$346,8,0)&amp;""</f>
        <v/>
      </c>
      <c r="I305" s="10" t="str">
        <f>VLOOKUP($A305,'Institution Evaluation'!$A$56:$K$346,9,0)&amp;""</f>
        <v>Critical Importance</v>
      </c>
      <c r="J305" s="10" t="str">
        <f>VLOOKUP($A305,'Institution Evaluation'!$A$56:$K$346,10,0)&amp;""</f>
        <v/>
      </c>
      <c r="K305" s="10">
        <f t="shared" si="64"/>
        <v>20</v>
      </c>
      <c r="L305" s="114">
        <f>IF($E305="Not Scored", "N/A",IF(AND($D305='Auto Responses'!$J$27,$H305=""),"N/A",IF(AND($D305='Auto Responses'!$J$27,$H305='Auto Responses'!$J$7),1,IF(AND($D305='Auto Responses'!$J$27,$H305='Auto Responses'!$J$8),0,IF(OR($F305=$G305,$H305='Auto Responses'!$J$7),1,0)))))</f>
        <v>0</v>
      </c>
      <c r="M305" s="10" t="str">
        <f>VLOOKUP($A305,'Institution Evaluation'!$A$56:$K$346,10,0)&amp;""</f>
        <v/>
      </c>
      <c r="N305" s="10">
        <f t="shared" si="65"/>
        <v>1</v>
      </c>
      <c r="O305" s="114" t="str">
        <f t="shared" si="70"/>
        <v>N/A</v>
      </c>
      <c r="P305" s="114" t="str">
        <f t="shared" si="66"/>
        <v>N/A</v>
      </c>
      <c r="Q305" s="114">
        <f t="shared" si="59"/>
        <v>0</v>
      </c>
      <c r="R305" s="114">
        <f t="shared" si="67"/>
        <v>0</v>
      </c>
      <c r="S305" s="114">
        <f t="shared" si="60"/>
        <v>0</v>
      </c>
      <c r="T305" s="114">
        <f t="shared" si="61"/>
        <v>1</v>
      </c>
      <c r="U305" s="114">
        <f t="shared" si="68"/>
        <v>75</v>
      </c>
      <c r="V305" s="114">
        <f t="shared" si="62"/>
        <v>75</v>
      </c>
    </row>
    <row r="306" spans="1:22" ht="56" x14ac:dyDescent="0.3">
      <c r="A306" s="10" t="str">
        <f>Questions!$A306</f>
        <v>AIGN-02</v>
      </c>
      <c r="B306" s="10" t="str">
        <f t="shared" si="63"/>
        <v>AIGN</v>
      </c>
      <c r="C306" s="10" t="str">
        <f>VLOOKUP($A306,Questions!$A$3:$L$333,2,0)&amp;""</f>
        <v>Can your solution's AI features be disabled by tenant and/or user?*</v>
      </c>
      <c r="D306" s="10" t="str">
        <f>VLOOKUP($A306,Questions!$A$3:$L$333,11,0)&amp;""</f>
        <v/>
      </c>
      <c r="E306" s="10" t="str">
        <f>VLOOKUP($A306,Questions!$A$3:$L$333,12,0)&amp;""</f>
        <v>AI</v>
      </c>
      <c r="F306" s="10" t="str">
        <f>VLOOKUP($A306,'Institution Evaluation'!$A$56:$K$346,3,0)&amp;""</f>
        <v/>
      </c>
      <c r="G306" s="10" t="str">
        <f>VLOOKUP($A306,'Institution Evaluation'!$A$56:$K$346,7,0)&amp;""</f>
        <v>Yes</v>
      </c>
      <c r="H306" s="10" t="str">
        <f>VLOOKUP($A306,'Institution Evaluation'!$A$56:$K$346,8,0)&amp;""</f>
        <v/>
      </c>
      <c r="I306" s="10" t="str">
        <f>VLOOKUP($A306,'Institution Evaluation'!$A$56:$K$346,9,0)&amp;""</f>
        <v>Critical Importance</v>
      </c>
      <c r="J306" s="10" t="str">
        <f>VLOOKUP($A306,'Institution Evaluation'!$A$56:$K$346,10,0)&amp;""</f>
        <v/>
      </c>
      <c r="K306" s="10">
        <f t="shared" si="64"/>
        <v>20</v>
      </c>
      <c r="L306" s="114">
        <f>IF($E306="Not Scored", "N/A",IF(AND($D306='Auto Responses'!$J$27,$H306=""),"N/A",IF(AND($D306='Auto Responses'!$J$27,$H306='Auto Responses'!$J$7),1,IF(AND($D306='Auto Responses'!$J$27,$H306='Auto Responses'!$J$8),0,IF(OR($F306=$G306,$H306='Auto Responses'!$J$7),1,0)))))</f>
        <v>0</v>
      </c>
      <c r="M306" s="10" t="str">
        <f>VLOOKUP($A306,'Institution Evaluation'!$A$56:$K$346,10,0)&amp;""</f>
        <v/>
      </c>
      <c r="N306" s="10">
        <f t="shared" si="65"/>
        <v>1</v>
      </c>
      <c r="O306" s="114" t="str">
        <f t="shared" si="70"/>
        <v>N/A</v>
      </c>
      <c r="P306" s="114" t="str">
        <f t="shared" si="66"/>
        <v>N/A</v>
      </c>
      <c r="Q306" s="114">
        <f t="shared" si="59"/>
        <v>0</v>
      </c>
      <c r="R306" s="114">
        <f t="shared" si="67"/>
        <v>0</v>
      </c>
      <c r="S306" s="114">
        <f t="shared" si="60"/>
        <v>0</v>
      </c>
      <c r="T306" s="114">
        <f t="shared" si="61"/>
        <v>1</v>
      </c>
      <c r="U306" s="114">
        <f t="shared" si="68"/>
        <v>76</v>
      </c>
      <c r="V306" s="114">
        <f t="shared" si="62"/>
        <v>76</v>
      </c>
    </row>
    <row r="307" spans="1:22" ht="56" x14ac:dyDescent="0.3">
      <c r="A307" s="10" t="str">
        <f>Questions!$A307</f>
        <v>AIGN-03</v>
      </c>
      <c r="B307" s="10" t="str">
        <f t="shared" si="63"/>
        <v>AIGN</v>
      </c>
      <c r="C307" s="10" t="str">
        <f>VLOOKUP($A307,Questions!$A$3:$L$333,2,0)&amp;""</f>
        <v>Have your staff completed responsible AI training?*</v>
      </c>
      <c r="D307" s="10" t="str">
        <f>VLOOKUP($A307,Questions!$A$3:$L$333,11,0)&amp;""</f>
        <v/>
      </c>
      <c r="E307" s="10" t="str">
        <f>VLOOKUP($A307,Questions!$A$3:$L$333,12,0)&amp;""</f>
        <v>AI</v>
      </c>
      <c r="F307" s="10" t="str">
        <f>VLOOKUP($A307,'Institution Evaluation'!$A$56:$K$346,3,0)&amp;""</f>
        <v/>
      </c>
      <c r="G307" s="10" t="str">
        <f>VLOOKUP($A307,'Institution Evaluation'!$A$56:$K$346,7,0)&amp;""</f>
        <v>Yes</v>
      </c>
      <c r="H307" s="10" t="str">
        <f>VLOOKUP($A307,'Institution Evaluation'!$A$56:$K$346,8,0)&amp;""</f>
        <v/>
      </c>
      <c r="I307" s="10" t="str">
        <f>VLOOKUP($A307,'Institution Evaluation'!$A$56:$K$346,9,0)&amp;""</f>
        <v>Critical Importance</v>
      </c>
      <c r="J307" s="10" t="str">
        <f>VLOOKUP($A307,'Institution Evaluation'!$A$56:$K$346,10,0)&amp;""</f>
        <v/>
      </c>
      <c r="K307" s="10">
        <f t="shared" si="64"/>
        <v>20</v>
      </c>
      <c r="L307" s="114">
        <f>IF($E307="Not Scored", "N/A",IF(AND($D307='Auto Responses'!$J$27,$H307=""),"N/A",IF(AND($D307='Auto Responses'!$J$27,$H307='Auto Responses'!$J$7),1,IF(AND($D307='Auto Responses'!$J$27,$H307='Auto Responses'!$J$8),0,IF(OR($F307=$G307,$H307='Auto Responses'!$J$7),1,0)))))</f>
        <v>0</v>
      </c>
      <c r="M307" s="10" t="str">
        <f>VLOOKUP($A307,'Institution Evaluation'!$A$56:$K$346,10,0)&amp;""</f>
        <v/>
      </c>
      <c r="N307" s="10">
        <f t="shared" si="65"/>
        <v>1</v>
      </c>
      <c r="O307" s="114" t="str">
        <f t="shared" si="70"/>
        <v>N/A</v>
      </c>
      <c r="P307" s="114" t="str">
        <f t="shared" si="66"/>
        <v>N/A</v>
      </c>
      <c r="Q307" s="114">
        <f t="shared" si="59"/>
        <v>0</v>
      </c>
      <c r="R307" s="114">
        <f t="shared" si="67"/>
        <v>0</v>
      </c>
      <c r="S307" s="114">
        <f t="shared" si="60"/>
        <v>0</v>
      </c>
      <c r="T307" s="114">
        <f t="shared" si="61"/>
        <v>1</v>
      </c>
      <c r="U307" s="114">
        <f t="shared" si="68"/>
        <v>77</v>
      </c>
      <c r="V307" s="114">
        <f t="shared" si="62"/>
        <v>77</v>
      </c>
    </row>
    <row r="308" spans="1:22" ht="56" x14ac:dyDescent="0.3">
      <c r="A308" s="10" t="str">
        <f>Questions!$A308</f>
        <v>AIGN-04</v>
      </c>
      <c r="B308" s="10" t="str">
        <f t="shared" si="63"/>
        <v>AIGN</v>
      </c>
      <c r="C308" s="10" t="str">
        <f>VLOOKUP($A308,Questions!$A$3:$L$333,2,0)&amp;""</f>
        <v>Please describe the capabilities of your solution's AI features.</v>
      </c>
      <c r="D308" s="10" t="str">
        <f>VLOOKUP($A308,Questions!$A$3:$L$333,11,0)&amp;""</f>
        <v/>
      </c>
      <c r="E308" s="10" t="str">
        <f>VLOOKUP($A308,Questions!$A$3:$L$333,12,0)&amp;""</f>
        <v>Not scored</v>
      </c>
      <c r="F308" s="10" t="str">
        <f>VLOOKUP($A308,'Institution Evaluation'!$A$56:$K$346,3,0)&amp;""</f>
        <v/>
      </c>
      <c r="G308" s="10" t="str">
        <f>VLOOKUP($A308,'Institution Evaluation'!$A$56:$K$346,7,0)&amp;""</f>
        <v>Not scored</v>
      </c>
      <c r="H308" s="10" t="str">
        <f>VLOOKUP($A308,'Institution Evaluation'!$A$56:$K$346,8,0)&amp;""</f>
        <v/>
      </c>
      <c r="I308" s="10" t="str">
        <f>VLOOKUP($A308,'Institution Evaluation'!$A$56:$K$346,9,0)&amp;""</f>
        <v>Standard Importance</v>
      </c>
      <c r="J308" s="10" t="str">
        <f>VLOOKUP($A308,'Institution Evaluation'!$A$56:$K$346,10,0)&amp;""</f>
        <v/>
      </c>
      <c r="K308" s="10">
        <f t="shared" si="64"/>
        <v>10</v>
      </c>
      <c r="L308" s="114" t="str">
        <f>IF($E308="Not Scored", "N/A",IF(AND($D308='Auto Responses'!$J$27,$H308=""),"N/A",IF(AND($D308='Auto Responses'!$J$27,$H308='Auto Responses'!$J$7),1,IF(AND($D308='Auto Responses'!$J$27,$H308='Auto Responses'!$J$8),0,IF(OR($F308=$G308,$H308='Auto Responses'!$J$7),1,0)))))</f>
        <v>N/A</v>
      </c>
      <c r="M308" s="10" t="str">
        <f>VLOOKUP($A308,'Institution Evaluation'!$A$56:$K$346,10,0)&amp;""</f>
        <v/>
      </c>
      <c r="N308" s="10">
        <f t="shared" si="65"/>
        <v>0</v>
      </c>
      <c r="O308" s="114" t="str">
        <f t="shared" si="70"/>
        <v>N/A</v>
      </c>
      <c r="P308" s="114" t="str">
        <f t="shared" si="66"/>
        <v>N/A</v>
      </c>
      <c r="Q308" s="114">
        <f t="shared" si="59"/>
        <v>0</v>
      </c>
      <c r="R308" s="114">
        <f t="shared" si="67"/>
        <v>0</v>
      </c>
      <c r="S308" s="114">
        <f t="shared" si="60"/>
        <v>0</v>
      </c>
      <c r="T308" s="114">
        <f t="shared" si="61"/>
        <v>0</v>
      </c>
      <c r="U308" s="114">
        <f t="shared" si="68"/>
        <v>77</v>
      </c>
      <c r="V308" s="114">
        <f t="shared" si="62"/>
        <v>0</v>
      </c>
    </row>
    <row r="309" spans="1:22" ht="56" x14ac:dyDescent="0.3">
      <c r="A309" s="10" t="str">
        <f>Questions!$A309</f>
        <v>AIGN-05</v>
      </c>
      <c r="B309" s="10" t="str">
        <f t="shared" si="63"/>
        <v>AIGN</v>
      </c>
      <c r="C309" s="10" t="str">
        <f>VLOOKUP($A309,Questions!$A$3:$L$333,2,0)&amp;""</f>
        <v>Does your solution support business rules to protect sensitive data from being ingested by the AI model?</v>
      </c>
      <c r="D309" s="10" t="str">
        <f>VLOOKUP($A309,Questions!$A$3:$L$333,11,0)&amp;""</f>
        <v/>
      </c>
      <c r="E309" s="10" t="str">
        <f>VLOOKUP($A309,Questions!$A$3:$L$333,12,0)&amp;""</f>
        <v>AI</v>
      </c>
      <c r="F309" s="10" t="str">
        <f>VLOOKUP($A309,'Institution Evaluation'!$A$56:$K$346,3,0)&amp;""</f>
        <v/>
      </c>
      <c r="G309" s="10" t="str">
        <f>VLOOKUP($A309,'Institution Evaluation'!$A$56:$K$346,7,0)&amp;""</f>
        <v>Yes</v>
      </c>
      <c r="H309" s="10" t="str">
        <f>VLOOKUP($A309,'Institution Evaluation'!$A$56:$K$346,8,0)&amp;""</f>
        <v/>
      </c>
      <c r="I309" s="10" t="str">
        <f>VLOOKUP($A309,'Institution Evaluation'!$A$56:$K$346,9,0)&amp;""</f>
        <v>Standard Importance</v>
      </c>
      <c r="J309" s="10" t="str">
        <f>VLOOKUP($A309,'Institution Evaluation'!$A$56:$K$346,10,0)&amp;""</f>
        <v/>
      </c>
      <c r="K309" s="10">
        <f t="shared" si="64"/>
        <v>10</v>
      </c>
      <c r="L309" s="114">
        <f>IF($E309="Not Scored", "N/A",IF(AND($D309='Auto Responses'!$J$27,$H309=""),"N/A",IF(AND($D309='Auto Responses'!$J$27,$H309='Auto Responses'!$J$7),1,IF(AND($D309='Auto Responses'!$J$27,$H309='Auto Responses'!$J$8),0,IF(OR($F309=$G309,$H309='Auto Responses'!$J$7),1,0)))))</f>
        <v>0</v>
      </c>
      <c r="M309" s="10" t="str">
        <f>VLOOKUP($A309,'Institution Evaluation'!$A$56:$K$346,10,0)&amp;""</f>
        <v/>
      </c>
      <c r="N309" s="10">
        <f t="shared" si="65"/>
        <v>0</v>
      </c>
      <c r="O309" s="114" t="str">
        <f t="shared" si="70"/>
        <v>N/A</v>
      </c>
      <c r="P309" s="114" t="str">
        <f t="shared" si="66"/>
        <v>N/A</v>
      </c>
      <c r="Q309" s="114">
        <f t="shared" si="59"/>
        <v>0</v>
      </c>
      <c r="R309" s="114">
        <f t="shared" si="67"/>
        <v>0</v>
      </c>
      <c r="S309" s="114">
        <f t="shared" si="60"/>
        <v>0</v>
      </c>
      <c r="T309" s="114">
        <f t="shared" si="61"/>
        <v>0</v>
      </c>
      <c r="U309" s="114">
        <f t="shared" si="68"/>
        <v>77</v>
      </c>
      <c r="V309" s="114">
        <f t="shared" si="62"/>
        <v>0</v>
      </c>
    </row>
    <row r="310" spans="1:22" ht="70" x14ac:dyDescent="0.3">
      <c r="A310" s="10" t="str">
        <f>Questions!$A310</f>
        <v>AIPL-01</v>
      </c>
      <c r="B310" s="10" t="str">
        <f t="shared" si="63"/>
        <v>AIPL</v>
      </c>
      <c r="C310" s="10" t="str">
        <f>VLOOKUP($A310,Questions!$A$3:$L$333,2,0)&amp;""</f>
        <v>Are your AI developer's policies, processes, procedures, and practices across the organization related to the mapping, measuring, and managing of AI risks conspicuously posted, unambiguous, and implemented effectively?*</v>
      </c>
      <c r="D310" s="10" t="str">
        <f>VLOOKUP($A310,Questions!$A$3:$L$333,11,0)&amp;""</f>
        <v/>
      </c>
      <c r="E310" s="10" t="str">
        <f>VLOOKUP($A310,Questions!$A$3:$L$333,12,0)&amp;""</f>
        <v>AI</v>
      </c>
      <c r="F310" s="10" t="str">
        <f>VLOOKUP($A310,'Institution Evaluation'!$A$56:$K$346,3,0)&amp;""</f>
        <v/>
      </c>
      <c r="G310" s="10" t="str">
        <f>VLOOKUP($A310,'Institution Evaluation'!$A$56:$K$346,7,0)&amp;""</f>
        <v>Yes</v>
      </c>
      <c r="H310" s="10" t="str">
        <f>VLOOKUP($A310,'Institution Evaluation'!$A$56:$K$346,8,0)&amp;""</f>
        <v/>
      </c>
      <c r="I310" s="10" t="str">
        <f>VLOOKUP($A310,'Institution Evaluation'!$A$56:$K$346,9,0)&amp;""</f>
        <v>Critical Importance</v>
      </c>
      <c r="J310" s="10" t="str">
        <f>VLOOKUP($A310,'Institution Evaluation'!$A$56:$K$346,10,0)&amp;""</f>
        <v/>
      </c>
      <c r="K310" s="10">
        <f t="shared" si="64"/>
        <v>20</v>
      </c>
      <c r="L310" s="114">
        <f>IF($E310="Not Scored", "N/A",IF(AND($D310='Auto Responses'!$J$27,$H310=""),"N/A",IF(AND($D310='Auto Responses'!$J$27,$H310='Auto Responses'!$J$7),1,IF(AND($D310='Auto Responses'!$J$27,$H310='Auto Responses'!$J$8),0,IF(OR($F310=$G310,$H310='Auto Responses'!$J$7),1,0)))))</f>
        <v>0</v>
      </c>
      <c r="M310" s="10" t="str">
        <f>VLOOKUP($A310,'Institution Evaluation'!$A$56:$K$346,10,0)&amp;""</f>
        <v/>
      </c>
      <c r="N310" s="10">
        <f t="shared" si="65"/>
        <v>1</v>
      </c>
      <c r="O310" s="114" t="str">
        <f t="shared" si="70"/>
        <v>N/A</v>
      </c>
      <c r="P310" s="114" t="str">
        <f t="shared" si="66"/>
        <v>N/A</v>
      </c>
      <c r="Q310" s="114">
        <f t="shared" si="59"/>
        <v>0</v>
      </c>
      <c r="R310" s="114">
        <f t="shared" si="67"/>
        <v>0</v>
      </c>
      <c r="S310" s="114">
        <f t="shared" si="60"/>
        <v>0</v>
      </c>
      <c r="T310" s="114">
        <f t="shared" si="61"/>
        <v>1</v>
      </c>
      <c r="U310" s="114">
        <f t="shared" si="68"/>
        <v>78</v>
      </c>
      <c r="V310" s="114">
        <f t="shared" si="62"/>
        <v>78</v>
      </c>
    </row>
    <row r="311" spans="1:22" ht="56" x14ac:dyDescent="0.3">
      <c r="A311" s="10" t="str">
        <f>Questions!$A311</f>
        <v>AIPL-02</v>
      </c>
      <c r="B311" s="10" t="str">
        <f t="shared" si="63"/>
        <v>AIPL</v>
      </c>
      <c r="C311" s="10" t="str">
        <f>VLOOKUP($A311,Questions!$A$3:$L$333,2,0)&amp;""</f>
        <v>Have you identified and measured AI risks?*</v>
      </c>
      <c r="D311" s="10" t="str">
        <f>VLOOKUP($A311,Questions!$A$3:$L$333,11,0)&amp;""</f>
        <v/>
      </c>
      <c r="E311" s="10" t="str">
        <f>VLOOKUP($A311,Questions!$A$3:$L$333,12,0)&amp;""</f>
        <v>AI</v>
      </c>
      <c r="F311" s="10" t="str">
        <f>VLOOKUP($A311,'Institution Evaluation'!$A$56:$K$346,3,0)&amp;""</f>
        <v/>
      </c>
      <c r="G311" s="10" t="str">
        <f>VLOOKUP($A311,'Institution Evaluation'!$A$56:$K$346,7,0)&amp;""</f>
        <v>Yes</v>
      </c>
      <c r="H311" s="10" t="str">
        <f>VLOOKUP($A311,'Institution Evaluation'!$A$56:$K$346,8,0)&amp;""</f>
        <v/>
      </c>
      <c r="I311" s="10" t="str">
        <f>VLOOKUP($A311,'Institution Evaluation'!$A$56:$K$346,9,0)&amp;""</f>
        <v>Critical Importance</v>
      </c>
      <c r="J311" s="10" t="str">
        <f>VLOOKUP($A311,'Institution Evaluation'!$A$56:$K$346,10,0)&amp;""</f>
        <v/>
      </c>
      <c r="K311" s="10">
        <f t="shared" si="64"/>
        <v>20</v>
      </c>
      <c r="L311" s="114">
        <f>IF($E311="Not Scored", "N/A",IF(AND($D311='Auto Responses'!$J$27,$H311=""),"N/A",IF(AND($D311='Auto Responses'!$J$27,$H311='Auto Responses'!$J$7),1,IF(AND($D311='Auto Responses'!$J$27,$H311='Auto Responses'!$J$8),0,IF(OR($F311=$G311,$H311='Auto Responses'!$J$7),1,0)))))</f>
        <v>0</v>
      </c>
      <c r="M311" s="10" t="str">
        <f>VLOOKUP($A311,'Institution Evaluation'!$A$56:$K$346,10,0)&amp;""</f>
        <v/>
      </c>
      <c r="N311" s="10">
        <f t="shared" si="65"/>
        <v>1</v>
      </c>
      <c r="O311" s="114" t="str">
        <f t="shared" si="70"/>
        <v>N/A</v>
      </c>
      <c r="P311" s="114" t="str">
        <f t="shared" si="66"/>
        <v>N/A</v>
      </c>
      <c r="Q311" s="114">
        <f t="shared" si="59"/>
        <v>0</v>
      </c>
      <c r="R311" s="114">
        <f t="shared" si="67"/>
        <v>0</v>
      </c>
      <c r="S311" s="114">
        <f t="shared" si="60"/>
        <v>0</v>
      </c>
      <c r="T311" s="114">
        <f t="shared" si="61"/>
        <v>1</v>
      </c>
      <c r="U311" s="114">
        <f t="shared" si="68"/>
        <v>79</v>
      </c>
      <c r="V311" s="114">
        <f t="shared" si="62"/>
        <v>79</v>
      </c>
    </row>
    <row r="312" spans="1:22" ht="56" x14ac:dyDescent="0.3">
      <c r="A312" s="10" t="str">
        <f>Questions!$A312</f>
        <v>AIPL-03</v>
      </c>
      <c r="B312" s="10" t="str">
        <f t="shared" si="63"/>
        <v>AIPL</v>
      </c>
      <c r="C312" s="10" t="str">
        <f>VLOOKUP($A312,Questions!$A$3:$L$333,2,0)&amp;""</f>
        <v>In the event of an incident, can your solution's AI features be disabled in a timely manner?*</v>
      </c>
      <c r="D312" s="10" t="str">
        <f>VLOOKUP($A312,Questions!$A$3:$L$333,11,0)&amp;""</f>
        <v/>
      </c>
      <c r="E312" s="10" t="str">
        <f>VLOOKUP($A312,Questions!$A$3:$L$333,12,0)&amp;""</f>
        <v>AI</v>
      </c>
      <c r="F312" s="10" t="str">
        <f>VLOOKUP($A312,'Institution Evaluation'!$A$56:$K$346,3,0)&amp;""</f>
        <v/>
      </c>
      <c r="G312" s="10" t="str">
        <f>VLOOKUP($A312,'Institution Evaluation'!$A$56:$K$346,7,0)&amp;""</f>
        <v>Yes</v>
      </c>
      <c r="H312" s="10" t="str">
        <f>VLOOKUP($A312,'Institution Evaluation'!$A$56:$K$346,8,0)&amp;""</f>
        <v/>
      </c>
      <c r="I312" s="10" t="str">
        <f>VLOOKUP($A312,'Institution Evaluation'!$A$56:$K$346,9,0)&amp;""</f>
        <v>Critical Importance</v>
      </c>
      <c r="J312" s="10" t="str">
        <f>VLOOKUP($A312,'Institution Evaluation'!$A$56:$K$346,10,0)&amp;""</f>
        <v/>
      </c>
      <c r="K312" s="10">
        <f t="shared" si="64"/>
        <v>20</v>
      </c>
      <c r="L312" s="114">
        <f>IF($E312="Not Scored", "N/A",IF(AND($D312='Auto Responses'!$J$27,$H312=""),"N/A",IF(AND($D312='Auto Responses'!$J$27,$H312='Auto Responses'!$J$7),1,IF(AND($D312='Auto Responses'!$J$27,$H312='Auto Responses'!$J$8),0,IF(OR($F312=$G312,$H312='Auto Responses'!$J$7),1,0)))))</f>
        <v>0</v>
      </c>
      <c r="M312" s="10" t="str">
        <f>VLOOKUP($A312,'Institution Evaluation'!$A$56:$K$346,10,0)&amp;""</f>
        <v/>
      </c>
      <c r="N312" s="10">
        <f t="shared" si="65"/>
        <v>1</v>
      </c>
      <c r="O312" s="114" t="str">
        <f t="shared" si="70"/>
        <v>N/A</v>
      </c>
      <c r="P312" s="114" t="str">
        <f t="shared" si="66"/>
        <v>N/A</v>
      </c>
      <c r="Q312" s="114">
        <f t="shared" si="59"/>
        <v>0</v>
      </c>
      <c r="R312" s="114">
        <f t="shared" si="67"/>
        <v>0</v>
      </c>
      <c r="S312" s="114">
        <f t="shared" si="60"/>
        <v>0</v>
      </c>
      <c r="T312" s="114">
        <f t="shared" si="61"/>
        <v>1</v>
      </c>
      <c r="U312" s="114">
        <f t="shared" si="68"/>
        <v>80</v>
      </c>
      <c r="V312" s="114">
        <f t="shared" si="62"/>
        <v>80</v>
      </c>
    </row>
    <row r="313" spans="1:22" ht="56" x14ac:dyDescent="0.3">
      <c r="A313" s="10" t="str">
        <f>Questions!$A313</f>
        <v>AIPL-04</v>
      </c>
      <c r="B313" s="10" t="str">
        <f t="shared" si="63"/>
        <v>AIPL</v>
      </c>
      <c r="C313" s="10" t="str">
        <f>VLOOKUP($A313,Questions!$A$3:$L$333,2,0)&amp;""</f>
        <v>If disabled because of an incident, can your solution's AI features be re-enabled in a timely manner?*</v>
      </c>
      <c r="D313" s="10" t="str">
        <f>VLOOKUP($A313,Questions!$A$3:$L$333,11,0)&amp;""</f>
        <v/>
      </c>
      <c r="E313" s="10" t="str">
        <f>VLOOKUP($A313,Questions!$A$3:$L$333,12,0)&amp;""</f>
        <v>AI</v>
      </c>
      <c r="F313" s="10" t="str">
        <f>VLOOKUP($A313,'Institution Evaluation'!$A$56:$K$346,3,0)&amp;""</f>
        <v/>
      </c>
      <c r="G313" s="10" t="str">
        <f>VLOOKUP($A313,'Institution Evaluation'!$A$56:$K$346,7,0)&amp;""</f>
        <v>Yes</v>
      </c>
      <c r="H313" s="10" t="str">
        <f>VLOOKUP($A313,'Institution Evaluation'!$A$56:$K$346,8,0)&amp;""</f>
        <v/>
      </c>
      <c r="I313" s="10" t="str">
        <f>VLOOKUP($A313,'Institution Evaluation'!$A$56:$K$346,9,0)&amp;""</f>
        <v>Critical Importance</v>
      </c>
      <c r="J313" s="10" t="str">
        <f>VLOOKUP($A313,'Institution Evaluation'!$A$56:$K$346,10,0)&amp;""</f>
        <v/>
      </c>
      <c r="K313" s="10">
        <f t="shared" si="64"/>
        <v>20</v>
      </c>
      <c r="L313" s="114">
        <f>IF($E313="Not Scored", "N/A",IF(AND($D313='Auto Responses'!$J$27,$H313=""),"N/A",IF(AND($D313='Auto Responses'!$J$27,$H313='Auto Responses'!$J$7),1,IF(AND($D313='Auto Responses'!$J$27,$H313='Auto Responses'!$J$8),0,IF(OR($F313=$G313,$H313='Auto Responses'!$J$7),1,0)))))</f>
        <v>0</v>
      </c>
      <c r="M313" s="10" t="str">
        <f>VLOOKUP($A313,'Institution Evaluation'!$A$56:$K$346,10,0)&amp;""</f>
        <v/>
      </c>
      <c r="N313" s="10">
        <f t="shared" si="65"/>
        <v>1</v>
      </c>
      <c r="O313" s="114" t="str">
        <f>IF(OR($F$20="No",$E313="Not Scored",$F313="N/A"),"N/A",IF($J313="",$K313,IF($J313="Minor Importance",5,IF($J313="Standard Importance",10,IF($J313="Critical Importance",20,0)))))</f>
        <v>N/A</v>
      </c>
      <c r="P313" s="114" t="str">
        <f t="shared" si="66"/>
        <v>N/A</v>
      </c>
      <c r="Q313" s="114">
        <f t="shared" si="59"/>
        <v>0</v>
      </c>
      <c r="R313" s="114">
        <f t="shared" si="67"/>
        <v>0</v>
      </c>
      <c r="S313" s="114">
        <f t="shared" si="60"/>
        <v>0</v>
      </c>
      <c r="T313" s="114">
        <f t="shared" si="61"/>
        <v>1</v>
      </c>
      <c r="U313" s="114">
        <f t="shared" si="68"/>
        <v>81</v>
      </c>
      <c r="V313" s="114">
        <f t="shared" si="62"/>
        <v>81</v>
      </c>
    </row>
    <row r="314" spans="1:22" ht="56" x14ac:dyDescent="0.3">
      <c r="A314" s="10" t="str">
        <f>Questions!$A314</f>
        <v>AIPL-05</v>
      </c>
      <c r="B314" s="10" t="str">
        <f t="shared" si="63"/>
        <v>AIPL</v>
      </c>
      <c r="C314" s="10" t="str">
        <f>VLOOKUP($A314,Questions!$A$3:$L$333,2,0)&amp;""</f>
        <v>Do you have documented technical and procedural processes to address potential negative impacts of AI as described by the AI Risk Management Framework (RMF)?</v>
      </c>
      <c r="D314" s="10" t="str">
        <f>VLOOKUP($A314,Questions!$A$3:$L$333,11,0)&amp;""</f>
        <v/>
      </c>
      <c r="E314" s="10" t="str">
        <f>VLOOKUP($A314,Questions!$A$3:$L$333,12,0)&amp;""</f>
        <v>AI</v>
      </c>
      <c r="F314" s="10" t="str">
        <f>VLOOKUP($A314,'Institution Evaluation'!$A$56:$K$346,3,0)&amp;""</f>
        <v/>
      </c>
      <c r="G314" s="10" t="str">
        <f>VLOOKUP($A314,'Institution Evaluation'!$A$56:$K$346,7,0)&amp;""</f>
        <v>Yes</v>
      </c>
      <c r="H314" s="10" t="str">
        <f>VLOOKUP($A314,'Institution Evaluation'!$A$56:$K$346,8,0)&amp;""</f>
        <v/>
      </c>
      <c r="I314" s="10" t="str">
        <f>VLOOKUP($A314,'Institution Evaluation'!$A$56:$K$346,9,0)&amp;""</f>
        <v>Minor Importance</v>
      </c>
      <c r="J314" s="10" t="str">
        <f>VLOOKUP($A314,'Institution Evaluation'!$A$56:$K$346,10,0)&amp;""</f>
        <v/>
      </c>
      <c r="K314" s="10">
        <f t="shared" si="64"/>
        <v>5</v>
      </c>
      <c r="L314" s="114">
        <f>IF($E314="Not Scored", "N/A",IF(AND($D314='Auto Responses'!$J$27,$H314=""),"N/A",IF(AND($D314='Auto Responses'!$J$27,$H314='Auto Responses'!$J$7),1,IF(AND($D314='Auto Responses'!$J$27,$H314='Auto Responses'!$J$8),0,IF(OR($F314=$G314,$H314='Auto Responses'!$J$7),1,0)))))</f>
        <v>0</v>
      </c>
      <c r="M314" s="10" t="str">
        <f>VLOOKUP($A314,'Institution Evaluation'!$A$56:$K$346,10,0)&amp;""</f>
        <v/>
      </c>
      <c r="N314" s="10">
        <f t="shared" si="65"/>
        <v>0</v>
      </c>
      <c r="O314" s="114" t="str">
        <f t="shared" si="70"/>
        <v>N/A</v>
      </c>
      <c r="P314" s="114" t="str">
        <f t="shared" si="66"/>
        <v>N/A</v>
      </c>
      <c r="Q314" s="114">
        <f t="shared" si="59"/>
        <v>0</v>
      </c>
      <c r="R314" s="114">
        <f t="shared" si="67"/>
        <v>0</v>
      </c>
      <c r="S314" s="114">
        <f t="shared" si="60"/>
        <v>0</v>
      </c>
      <c r="T314" s="114">
        <f t="shared" si="61"/>
        <v>0</v>
      </c>
      <c r="U314" s="114">
        <f t="shared" si="68"/>
        <v>81</v>
      </c>
      <c r="V314" s="114">
        <f t="shared" si="62"/>
        <v>0</v>
      </c>
    </row>
    <row r="315" spans="1:22" ht="56" x14ac:dyDescent="0.3">
      <c r="A315" s="10" t="str">
        <f>Questions!$A315</f>
        <v>AISC-01</v>
      </c>
      <c r="B315" s="10" t="str">
        <f t="shared" si="63"/>
        <v>AISC</v>
      </c>
      <c r="C315" s="10" t="str">
        <f>VLOOKUP($A315,Questions!$A$3:$L$333,2,0)&amp;""</f>
        <v>If sensitive data is introduced to your solution's AI model, can the data be removed from the AI model by request?*</v>
      </c>
      <c r="D315" s="10" t="str">
        <f>VLOOKUP($A315,Questions!$A$3:$L$333,11,0)&amp;""</f>
        <v/>
      </c>
      <c r="E315" s="10" t="str">
        <f>VLOOKUP($A315,Questions!$A$3:$L$333,12,0)&amp;""</f>
        <v>AI</v>
      </c>
      <c r="F315" s="10" t="str">
        <f>VLOOKUP($A315,'Institution Evaluation'!$A$56:$K$346,3,0)&amp;""</f>
        <v/>
      </c>
      <c r="G315" s="10" t="str">
        <f>VLOOKUP($A315,'Institution Evaluation'!$A$56:$K$346,7,0)&amp;""</f>
        <v>Yes</v>
      </c>
      <c r="H315" s="10" t="str">
        <f>VLOOKUP($A315,'Institution Evaluation'!$A$56:$K$346,8,0)&amp;""</f>
        <v/>
      </c>
      <c r="I315" s="10" t="str">
        <f>VLOOKUP($A315,'Institution Evaluation'!$A$56:$K$346,9,0)&amp;""</f>
        <v>Critical Importance</v>
      </c>
      <c r="J315" s="10" t="str">
        <f>VLOOKUP($A315,'Institution Evaluation'!$A$56:$K$346,10,0)&amp;""</f>
        <v/>
      </c>
      <c r="K315" s="10">
        <f t="shared" si="64"/>
        <v>20</v>
      </c>
      <c r="L315" s="114">
        <f>IF($E315="Not Scored", "N/A",IF(AND($D315='Auto Responses'!$J$27,$H315=""),"N/A",IF(AND($D315='Auto Responses'!$J$27,$H315='Auto Responses'!$J$7),1,IF(AND($D315='Auto Responses'!$J$27,$H315='Auto Responses'!$J$8),0,IF(OR($F315=$G315,$H315='Auto Responses'!$J$7),1,0)))))</f>
        <v>0</v>
      </c>
      <c r="M315" s="10" t="str">
        <f>VLOOKUP($A315,'Institution Evaluation'!$A$56:$K$346,10,0)&amp;""</f>
        <v/>
      </c>
      <c r="N315" s="10">
        <f t="shared" si="65"/>
        <v>1</v>
      </c>
      <c r="O315" s="114" t="str">
        <f t="shared" si="70"/>
        <v>N/A</v>
      </c>
      <c r="P315" s="114" t="str">
        <f t="shared" si="66"/>
        <v>N/A</v>
      </c>
      <c r="Q315" s="114">
        <f t="shared" si="59"/>
        <v>0</v>
      </c>
      <c r="R315" s="114">
        <f t="shared" si="67"/>
        <v>0</v>
      </c>
      <c r="S315" s="114">
        <f t="shared" si="60"/>
        <v>0</v>
      </c>
      <c r="T315" s="114">
        <f t="shared" si="61"/>
        <v>1</v>
      </c>
      <c r="U315" s="114">
        <f t="shared" si="68"/>
        <v>82</v>
      </c>
      <c r="V315" s="114">
        <f t="shared" si="62"/>
        <v>82</v>
      </c>
    </row>
    <row r="316" spans="1:22" ht="56" x14ac:dyDescent="0.3">
      <c r="A316" s="10" t="str">
        <f>Questions!$A316</f>
        <v>AISC-02</v>
      </c>
      <c r="B316" s="10" t="str">
        <f t="shared" si="63"/>
        <v>AISC</v>
      </c>
      <c r="C316" s="10" t="str">
        <f>VLOOKUP($A316,Questions!$A$3:$L$333,2,0)&amp;""</f>
        <v>Is user input data used to influence your solution's AI model?*</v>
      </c>
      <c r="D316" s="10" t="str">
        <f>VLOOKUP($A316,Questions!$A$3:$L$333,11,0)&amp;""</f>
        <v/>
      </c>
      <c r="E316" s="10" t="str">
        <f>VLOOKUP($A316,Questions!$A$3:$L$333,12,0)&amp;""</f>
        <v>AI</v>
      </c>
      <c r="F316" s="10" t="str">
        <f>VLOOKUP($A316,'Institution Evaluation'!$A$56:$K$346,3,0)&amp;""</f>
        <v/>
      </c>
      <c r="G316" s="10" t="str">
        <f>VLOOKUP($A316,'Institution Evaluation'!$A$56:$K$346,7,0)&amp;""</f>
        <v>No</v>
      </c>
      <c r="H316" s="10" t="str">
        <f>VLOOKUP($A316,'Institution Evaluation'!$A$56:$K$346,8,0)&amp;""</f>
        <v/>
      </c>
      <c r="I316" s="10" t="str">
        <f>VLOOKUP($A316,'Institution Evaluation'!$A$56:$K$346,9,0)&amp;""</f>
        <v>Critical Importance</v>
      </c>
      <c r="J316" s="10" t="str">
        <f>VLOOKUP($A316,'Institution Evaluation'!$A$56:$K$346,10,0)&amp;""</f>
        <v/>
      </c>
      <c r="K316" s="10">
        <f t="shared" si="64"/>
        <v>20</v>
      </c>
      <c r="L316" s="114">
        <f>IF($E316="Not Scored", "N/A",IF(AND($D316='Auto Responses'!$J$27,$H316=""),"N/A",IF(AND($D316='Auto Responses'!$J$27,$H316='Auto Responses'!$J$7),1,IF(AND($D316='Auto Responses'!$J$27,$H316='Auto Responses'!$J$8),0,IF(OR($F316=$G316,$H316='Auto Responses'!$J$7),1,0)))))</f>
        <v>0</v>
      </c>
      <c r="M316" s="10" t="str">
        <f>VLOOKUP($A316,'Institution Evaluation'!$A$56:$K$346,10,0)&amp;""</f>
        <v/>
      </c>
      <c r="N316" s="10">
        <f t="shared" si="65"/>
        <v>1</v>
      </c>
      <c r="O316" s="114" t="str">
        <f t="shared" si="70"/>
        <v>N/A</v>
      </c>
      <c r="P316" s="114" t="str">
        <f t="shared" si="66"/>
        <v>N/A</v>
      </c>
      <c r="Q316" s="114">
        <f t="shared" si="59"/>
        <v>0</v>
      </c>
      <c r="R316" s="114">
        <f t="shared" si="67"/>
        <v>0</v>
      </c>
      <c r="S316" s="114">
        <f t="shared" si="60"/>
        <v>0</v>
      </c>
      <c r="T316" s="114">
        <f t="shared" si="61"/>
        <v>1</v>
      </c>
      <c r="U316" s="114">
        <f t="shared" si="68"/>
        <v>83</v>
      </c>
      <c r="V316" s="114">
        <f t="shared" si="62"/>
        <v>83</v>
      </c>
    </row>
    <row r="317" spans="1:22" ht="56" x14ac:dyDescent="0.3">
      <c r="A317" s="10" t="str">
        <f>Questions!$A317</f>
        <v>AISC-03</v>
      </c>
      <c r="B317" s="10" t="str">
        <f t="shared" si="63"/>
        <v>AISC</v>
      </c>
      <c r="C317" s="10" t="str">
        <f>VLOOKUP($A317,Questions!$A$3:$L$333,2,0)&amp;""</f>
        <v>Do you provide logging for your solution's AI feature(s) that includes user, date, and action taken?*</v>
      </c>
      <c r="D317" s="10" t="str">
        <f>VLOOKUP($A317,Questions!$A$3:$L$333,11,0)&amp;""</f>
        <v/>
      </c>
      <c r="E317" s="10" t="str">
        <f>VLOOKUP($A317,Questions!$A$3:$L$333,12,0)&amp;""</f>
        <v>AI</v>
      </c>
      <c r="F317" s="10" t="str">
        <f>VLOOKUP($A317,'Institution Evaluation'!$A$56:$K$346,3,0)&amp;""</f>
        <v/>
      </c>
      <c r="G317" s="10" t="str">
        <f>VLOOKUP($A317,'Institution Evaluation'!$A$56:$K$346,7,0)&amp;""</f>
        <v>Yes</v>
      </c>
      <c r="H317" s="10" t="str">
        <f>VLOOKUP($A317,'Institution Evaluation'!$A$56:$K$346,8,0)&amp;""</f>
        <v/>
      </c>
      <c r="I317" s="10" t="str">
        <f>VLOOKUP($A317,'Institution Evaluation'!$A$56:$K$346,9,0)&amp;""</f>
        <v>Critical Importance</v>
      </c>
      <c r="J317" s="10" t="str">
        <f>VLOOKUP($A317,'Institution Evaluation'!$A$56:$K$346,10,0)&amp;""</f>
        <v/>
      </c>
      <c r="K317" s="10">
        <f t="shared" si="64"/>
        <v>20</v>
      </c>
      <c r="L317" s="114">
        <f>IF($E317="Not Scored", "N/A",IF(AND($D317='Auto Responses'!$J$27,$H317=""),"N/A",IF(AND($D317='Auto Responses'!$J$27,$H317='Auto Responses'!$J$7),1,IF(AND($D317='Auto Responses'!$J$27,$H317='Auto Responses'!$J$8),0,IF(OR($F317=$G317,$H317='Auto Responses'!$J$7),1,0)))))</f>
        <v>0</v>
      </c>
      <c r="M317" s="10" t="str">
        <f>VLOOKUP($A317,'Institution Evaluation'!$A$56:$K$346,10,0)&amp;""</f>
        <v/>
      </c>
      <c r="N317" s="10">
        <f t="shared" si="65"/>
        <v>1</v>
      </c>
      <c r="O317" s="114" t="str">
        <f t="shared" si="70"/>
        <v>N/A</v>
      </c>
      <c r="P317" s="114" t="str">
        <f t="shared" si="66"/>
        <v>N/A</v>
      </c>
      <c r="Q317" s="114">
        <f t="shared" ref="Q317:Q333" si="71">IF(M317="TRUE",1,0)</f>
        <v>0</v>
      </c>
      <c r="R317" s="114">
        <f t="shared" si="67"/>
        <v>0</v>
      </c>
      <c r="S317" s="114">
        <f t="shared" ref="S317:S333" si="72">IF(Q317=0,0,R317)</f>
        <v>0</v>
      </c>
      <c r="T317" s="114">
        <f t="shared" ref="T317:T333" si="73">IF(N317=1,1,0)</f>
        <v>1</v>
      </c>
      <c r="U317" s="114">
        <f t="shared" si="68"/>
        <v>84</v>
      </c>
      <c r="V317" s="114">
        <f t="shared" ref="V317:V333" si="74">IF(T317=0,0,U317)</f>
        <v>84</v>
      </c>
    </row>
    <row r="318" spans="1:22" ht="56" x14ac:dyDescent="0.3">
      <c r="A318" s="10" t="str">
        <f>Questions!$A318</f>
        <v>AISC-04</v>
      </c>
      <c r="B318" s="10" t="str">
        <f t="shared" ref="B318:B333" si="75">LEFT(A318,4)</f>
        <v>AISC</v>
      </c>
      <c r="C318" s="10" t="str">
        <f>VLOOKUP($A318,Questions!$A$3:$L$333,2,0)&amp;""</f>
        <v>Please describe how you validate user inputs.</v>
      </c>
      <c r="D318" s="10" t="str">
        <f>VLOOKUP($A318,Questions!$A$3:$L$333,11,0)&amp;""</f>
        <v/>
      </c>
      <c r="E318" s="10" t="str">
        <f>VLOOKUP($A318,Questions!$A$3:$L$333,12,0)&amp;""</f>
        <v>Not scored</v>
      </c>
      <c r="F318" s="10" t="str">
        <f>VLOOKUP($A318,'Institution Evaluation'!$A$56:$K$346,3,0)&amp;""</f>
        <v/>
      </c>
      <c r="G318" s="10" t="str">
        <f>VLOOKUP($A318,'Institution Evaluation'!$A$56:$K$346,7,0)&amp;""</f>
        <v>Not scored</v>
      </c>
      <c r="H318" s="10" t="str">
        <f>VLOOKUP($A318,'Institution Evaluation'!$A$56:$K$346,8,0)&amp;""</f>
        <v/>
      </c>
      <c r="I318" s="10" t="str">
        <f>VLOOKUP($A318,'Institution Evaluation'!$A$56:$K$346,9,0)&amp;""</f>
        <v>Standard Importance</v>
      </c>
      <c r="J318" s="10" t="str">
        <f>VLOOKUP($A318,'Institution Evaluation'!$A$56:$K$346,10,0)&amp;""</f>
        <v/>
      </c>
      <c r="K318" s="10">
        <f t="shared" ref="K318:K333" si="76">IF($I318="Critical Importance",20,IF($I318="Minor Importance",5,10))</f>
        <v>10</v>
      </c>
      <c r="L318" s="114" t="str">
        <f>IF($E318="Not Scored", "N/A",IF(AND($D318='Auto Responses'!$J$27,$H318=""),"N/A",IF(AND($D318='Auto Responses'!$J$27,$H318='Auto Responses'!$J$7),1,IF(AND($D318='Auto Responses'!$J$27,$H318='Auto Responses'!$J$8),0,IF(OR($F318=$G318,$H318='Auto Responses'!$J$7),1,0)))))</f>
        <v>N/A</v>
      </c>
      <c r="M318" s="10" t="str">
        <f>VLOOKUP($A318,'Institution Evaluation'!$A$56:$K$346,10,0)&amp;""</f>
        <v/>
      </c>
      <c r="N318" s="10">
        <f t="shared" ref="N318:N333" si="77">IF($J318="Critical Importance",1,IF(AND($J318="",$I318="Critical Importance"),1,0))</f>
        <v>0</v>
      </c>
      <c r="O318" s="114" t="str">
        <f t="shared" si="70"/>
        <v>N/A</v>
      </c>
      <c r="P318" s="114" t="str">
        <f t="shared" ref="P318:P333" si="78">IF(OR($O318="N/A",$L318="N/A"),"N/A",$O318*$L318)</f>
        <v>N/A</v>
      </c>
      <c r="Q318" s="114">
        <f t="shared" si="71"/>
        <v>0</v>
      </c>
      <c r="R318" s="114">
        <f t="shared" si="67"/>
        <v>0</v>
      </c>
      <c r="S318" s="114">
        <f t="shared" si="72"/>
        <v>0</v>
      </c>
      <c r="T318" s="114">
        <f t="shared" si="73"/>
        <v>0</v>
      </c>
      <c r="U318" s="114">
        <f t="shared" si="68"/>
        <v>84</v>
      </c>
      <c r="V318" s="114">
        <f t="shared" si="74"/>
        <v>0</v>
      </c>
    </row>
    <row r="319" spans="1:22" ht="56" x14ac:dyDescent="0.3">
      <c r="A319" s="10" t="str">
        <f>Questions!$A319</f>
        <v>AISC-05</v>
      </c>
      <c r="B319" s="10" t="str">
        <f t="shared" si="75"/>
        <v>AISC</v>
      </c>
      <c r="C319" s="10" t="str">
        <f>VLOOKUP($A319,Questions!$A$3:$L$333,2,0)&amp;""</f>
        <v>Do you plan for and mitigate supply-chain risk related to your AI features?</v>
      </c>
      <c r="D319" s="10" t="str">
        <f>VLOOKUP($A319,Questions!$A$3:$L$333,11,0)&amp;""</f>
        <v/>
      </c>
      <c r="E319" s="10" t="str">
        <f>VLOOKUP($A319,Questions!$A$3:$L$333,12,0)&amp;""</f>
        <v>AI</v>
      </c>
      <c r="F319" s="10" t="str">
        <f>VLOOKUP($A319,'Institution Evaluation'!$A$56:$K$346,3,0)&amp;""</f>
        <v/>
      </c>
      <c r="G319" s="10" t="str">
        <f>VLOOKUP($A319,'Institution Evaluation'!$A$56:$K$346,7,0)&amp;""</f>
        <v>Yes</v>
      </c>
      <c r="H319" s="10" t="str">
        <f>VLOOKUP($A319,'Institution Evaluation'!$A$56:$K$346,8,0)&amp;""</f>
        <v/>
      </c>
      <c r="I319" s="10" t="str">
        <f>VLOOKUP($A319,'Institution Evaluation'!$A$56:$K$346,9,0)&amp;""</f>
        <v>Standard Importance</v>
      </c>
      <c r="J319" s="10" t="str">
        <f>VLOOKUP($A319,'Institution Evaluation'!$A$56:$K$346,10,0)&amp;""</f>
        <v/>
      </c>
      <c r="K319" s="10">
        <f t="shared" si="76"/>
        <v>10</v>
      </c>
      <c r="L319" s="114">
        <f>IF($E319="Not Scored", "N/A",IF(AND($D319='Auto Responses'!$J$27,$H319=""),"N/A",IF(AND($D319='Auto Responses'!$J$27,$H319='Auto Responses'!$J$7),1,IF(AND($D319='Auto Responses'!$J$27,$H319='Auto Responses'!$J$8),0,IF(OR($F319=$G319,$H319='Auto Responses'!$J$7),1,0)))))</f>
        <v>0</v>
      </c>
      <c r="M319" s="10" t="str">
        <f>VLOOKUP($A319,'Institution Evaluation'!$A$56:$K$346,10,0)&amp;""</f>
        <v/>
      </c>
      <c r="N319" s="10">
        <f t="shared" si="77"/>
        <v>0</v>
      </c>
      <c r="O319" s="114" t="str">
        <f t="shared" si="70"/>
        <v>N/A</v>
      </c>
      <c r="P319" s="114" t="str">
        <f t="shared" si="78"/>
        <v>N/A</v>
      </c>
      <c r="Q319" s="114">
        <f t="shared" si="71"/>
        <v>0</v>
      </c>
      <c r="R319" s="114">
        <f t="shared" si="67"/>
        <v>0</v>
      </c>
      <c r="S319" s="114">
        <f t="shared" si="72"/>
        <v>0</v>
      </c>
      <c r="T319" s="114">
        <f t="shared" si="73"/>
        <v>0</v>
      </c>
      <c r="U319" s="114">
        <f t="shared" si="68"/>
        <v>84</v>
      </c>
      <c r="V319" s="114">
        <f t="shared" si="74"/>
        <v>0</v>
      </c>
    </row>
    <row r="320" spans="1:22" ht="56" x14ac:dyDescent="0.3">
      <c r="A320" s="10" t="str">
        <f>Questions!$A320</f>
        <v>AIML-01</v>
      </c>
      <c r="B320" s="10" t="str">
        <f t="shared" si="75"/>
        <v>AIML</v>
      </c>
      <c r="C320" s="10" t="str">
        <f>VLOOKUP($A320,Questions!$A$3:$L$333,2,0)&amp;""</f>
        <v>Do you separate ML training data from your ML solution data?*</v>
      </c>
      <c r="D320" s="10" t="str">
        <f>VLOOKUP($A320,Questions!$A$3:$L$333,11,0)&amp;""</f>
        <v/>
      </c>
      <c r="E320" s="10" t="str">
        <f>VLOOKUP($A320,Questions!$A$3:$L$333,12,0)&amp;""</f>
        <v>AI</v>
      </c>
      <c r="F320" s="10" t="str">
        <f>VLOOKUP($A320,'Institution Evaluation'!$A$56:$K$346,3,0)&amp;""</f>
        <v/>
      </c>
      <c r="G320" s="10" t="str">
        <f>VLOOKUP($A320,'Institution Evaluation'!$A$56:$K$346,7,0)&amp;""</f>
        <v>Yes</v>
      </c>
      <c r="H320" s="10" t="str">
        <f>VLOOKUP($A320,'Institution Evaluation'!$A$56:$K$346,8,0)&amp;""</f>
        <v/>
      </c>
      <c r="I320" s="10" t="str">
        <f>VLOOKUP($A320,'Institution Evaluation'!$A$56:$K$346,9,0)&amp;""</f>
        <v>Critical Importance</v>
      </c>
      <c r="J320" s="10" t="str">
        <f>VLOOKUP($A320,'Institution Evaluation'!$A$56:$K$346,10,0)&amp;""</f>
        <v/>
      </c>
      <c r="K320" s="10">
        <f t="shared" si="76"/>
        <v>20</v>
      </c>
      <c r="L320" s="114">
        <f>IF($E320="Not Scored", "N/A",IF(AND($D320='Auto Responses'!$J$27,$H320=""),"N/A",IF(AND($D320='Auto Responses'!$J$27,$H320='Auto Responses'!$J$7),1,IF(AND($D320='Auto Responses'!$J$27,$H320='Auto Responses'!$J$8),0,IF(OR($F320=$G320,$H320='Auto Responses'!$J$7),1,0)))))</f>
        <v>0</v>
      </c>
      <c r="M320" s="10" t="str">
        <f>VLOOKUP($A320,'Institution Evaluation'!$A$56:$K$346,10,0)&amp;""</f>
        <v/>
      </c>
      <c r="N320" s="10">
        <f t="shared" si="77"/>
        <v>1</v>
      </c>
      <c r="O320" s="114" t="str">
        <f t="shared" ref="O320:O327" si="79">IF(OR($F$20="No",$F$303="No",$E320="Not Scored"),"N/A",IF($J320="",$K320,IF($J320="Minor Importance",5,IF($J320="Standard Importance",10,IF($J320="Critical Importance",20,0)))))</f>
        <v>N/A</v>
      </c>
      <c r="P320" s="114" t="str">
        <f t="shared" si="78"/>
        <v>N/A</v>
      </c>
      <c r="Q320" s="114">
        <f t="shared" si="71"/>
        <v>0</v>
      </c>
      <c r="R320" s="114">
        <f t="shared" si="67"/>
        <v>0</v>
      </c>
      <c r="S320" s="114">
        <f t="shared" si="72"/>
        <v>0</v>
      </c>
      <c r="T320" s="114">
        <f t="shared" si="73"/>
        <v>1</v>
      </c>
      <c r="U320" s="114">
        <f t="shared" si="68"/>
        <v>85</v>
      </c>
      <c r="V320" s="114">
        <f t="shared" si="74"/>
        <v>85</v>
      </c>
    </row>
    <row r="321" spans="1:23" ht="56" x14ac:dyDescent="0.3">
      <c r="A321" s="10" t="str">
        <f>Questions!$A321</f>
        <v>AIML-02</v>
      </c>
      <c r="B321" s="10" t="str">
        <f t="shared" si="75"/>
        <v>AIML</v>
      </c>
      <c r="C321" s="10" t="str">
        <f>VLOOKUP($A321,Questions!$A$3:$L$333,2,0)&amp;""</f>
        <v>Do you authenticate and verify your ML model's feedback?*</v>
      </c>
      <c r="D321" s="10" t="str">
        <f>VLOOKUP($A321,Questions!$A$3:$L$333,11,0)&amp;""</f>
        <v/>
      </c>
      <c r="E321" s="10" t="str">
        <f>VLOOKUP($A321,Questions!$A$3:$L$333,12,0)&amp;""</f>
        <v>AI</v>
      </c>
      <c r="F321" s="10" t="str">
        <f>VLOOKUP($A321,'Institution Evaluation'!$A$56:$K$346,3,0)&amp;""</f>
        <v/>
      </c>
      <c r="G321" s="10" t="str">
        <f>VLOOKUP($A321,'Institution Evaluation'!$A$56:$K$346,7,0)&amp;""</f>
        <v>Yes</v>
      </c>
      <c r="H321" s="10" t="str">
        <f>VLOOKUP($A321,'Institution Evaluation'!$A$56:$K$346,8,0)&amp;""</f>
        <v/>
      </c>
      <c r="I321" s="10" t="str">
        <f>VLOOKUP($A321,'Institution Evaluation'!$A$56:$K$346,9,0)&amp;""</f>
        <v>Critical Importance</v>
      </c>
      <c r="J321" s="10" t="str">
        <f>VLOOKUP($A321,'Institution Evaluation'!$A$56:$K$346,10,0)&amp;""</f>
        <v/>
      </c>
      <c r="K321" s="10">
        <f t="shared" si="76"/>
        <v>20</v>
      </c>
      <c r="L321" s="114">
        <f>IF($E321="Not Scored", "N/A",IF(AND($D321='Auto Responses'!$J$27,$H321=""),"N/A",IF(AND($D321='Auto Responses'!$J$27,$H321='Auto Responses'!$J$7),1,IF(AND($D321='Auto Responses'!$J$27,$H321='Auto Responses'!$J$8),0,IF(OR($F321=$G321,$H321='Auto Responses'!$J$7),1,0)))))</f>
        <v>0</v>
      </c>
      <c r="M321" s="10" t="str">
        <f>VLOOKUP($A321,'Institution Evaluation'!$A$56:$K$346,10,0)&amp;""</f>
        <v/>
      </c>
      <c r="N321" s="10">
        <f t="shared" si="77"/>
        <v>1</v>
      </c>
      <c r="O321" s="114" t="str">
        <f t="shared" si="79"/>
        <v>N/A</v>
      </c>
      <c r="P321" s="114" t="str">
        <f t="shared" si="78"/>
        <v>N/A</v>
      </c>
      <c r="Q321" s="114">
        <f t="shared" si="71"/>
        <v>0</v>
      </c>
      <c r="R321" s="114">
        <f t="shared" si="67"/>
        <v>0</v>
      </c>
      <c r="S321" s="114">
        <f t="shared" si="72"/>
        <v>0</v>
      </c>
      <c r="T321" s="114">
        <f t="shared" si="73"/>
        <v>1</v>
      </c>
      <c r="U321" s="114">
        <f t="shared" si="68"/>
        <v>86</v>
      </c>
      <c r="V321" s="114">
        <f t="shared" si="74"/>
        <v>86</v>
      </c>
    </row>
    <row r="322" spans="1:23" ht="56" x14ac:dyDescent="0.3">
      <c r="A322" s="10" t="str">
        <f>Questions!$A322</f>
        <v>AIML-03</v>
      </c>
      <c r="B322" s="10" t="str">
        <f t="shared" si="75"/>
        <v>AIML</v>
      </c>
      <c r="C322" s="10" t="str">
        <f>VLOOKUP($A322,Questions!$A$3:$L$333,2,0)&amp;""</f>
        <v>Is your ML training data vetted, validated, and verified before training the solution's AI model?</v>
      </c>
      <c r="D322" s="10" t="str">
        <f>VLOOKUP($A322,Questions!$A$3:$L$333,11,0)&amp;""</f>
        <v/>
      </c>
      <c r="E322" s="10" t="str">
        <f>VLOOKUP($A322,Questions!$A$3:$L$333,12,0)&amp;""</f>
        <v>AI</v>
      </c>
      <c r="F322" s="10" t="str">
        <f>VLOOKUP($A322,'Institution Evaluation'!$A$56:$K$346,3,0)&amp;""</f>
        <v/>
      </c>
      <c r="G322" s="10" t="str">
        <f>VLOOKUP($A322,'Institution Evaluation'!$A$56:$K$346,7,0)&amp;""</f>
        <v>Yes</v>
      </c>
      <c r="H322" s="10" t="str">
        <f>VLOOKUP($A322,'Institution Evaluation'!$A$56:$K$346,8,0)&amp;""</f>
        <v/>
      </c>
      <c r="I322" s="10" t="str">
        <f>VLOOKUP($A322,'Institution Evaluation'!$A$56:$K$346,9,0)&amp;""</f>
        <v>Standard Importance</v>
      </c>
      <c r="J322" s="10" t="str">
        <f>VLOOKUP($A322,'Institution Evaluation'!$A$56:$K$346,10,0)&amp;""</f>
        <v/>
      </c>
      <c r="K322" s="10">
        <f t="shared" si="76"/>
        <v>10</v>
      </c>
      <c r="L322" s="114">
        <f>IF($E322="Not Scored", "N/A",IF(AND($D322='Auto Responses'!$J$27,$H322=""),"N/A",IF(AND($D322='Auto Responses'!$J$27,$H322='Auto Responses'!$J$7),1,IF(AND($D322='Auto Responses'!$J$27,$H322='Auto Responses'!$J$8),0,IF(OR($F322=$G322,$H322='Auto Responses'!$J$7),1,0)))))</f>
        <v>0</v>
      </c>
      <c r="M322" s="10" t="str">
        <f>VLOOKUP($A322,'Institution Evaluation'!$A$56:$K$346,10,0)&amp;""</f>
        <v/>
      </c>
      <c r="N322" s="10">
        <f t="shared" si="77"/>
        <v>0</v>
      </c>
      <c r="O322" s="114" t="str">
        <f t="shared" si="79"/>
        <v>N/A</v>
      </c>
      <c r="P322" s="114" t="str">
        <f t="shared" si="78"/>
        <v>N/A</v>
      </c>
      <c r="Q322" s="114">
        <f t="shared" si="71"/>
        <v>0</v>
      </c>
      <c r="R322" s="114">
        <f t="shared" si="67"/>
        <v>0</v>
      </c>
      <c r="S322" s="114">
        <f t="shared" si="72"/>
        <v>0</v>
      </c>
      <c r="T322" s="114">
        <f t="shared" si="73"/>
        <v>0</v>
      </c>
      <c r="U322" s="114">
        <f t="shared" si="68"/>
        <v>86</v>
      </c>
      <c r="V322" s="114">
        <f t="shared" si="74"/>
        <v>0</v>
      </c>
    </row>
    <row r="323" spans="1:23" ht="56" x14ac:dyDescent="0.3">
      <c r="A323" s="10" t="str">
        <f>Questions!$A323</f>
        <v>AIML-04</v>
      </c>
      <c r="B323" s="10" t="str">
        <f t="shared" si="75"/>
        <v>AIML</v>
      </c>
      <c r="C323" s="10" t="str">
        <f>VLOOKUP($A323,Questions!$A$3:$L$333,2,0)&amp;""</f>
        <v>Is your ML training data monitored and audited?</v>
      </c>
      <c r="D323" s="10" t="str">
        <f>VLOOKUP($A323,Questions!$A$3:$L$333,11,0)&amp;""</f>
        <v/>
      </c>
      <c r="E323" s="10" t="str">
        <f>VLOOKUP($A323,Questions!$A$3:$L$333,12,0)&amp;""</f>
        <v>AI</v>
      </c>
      <c r="F323" s="10" t="str">
        <f>VLOOKUP($A323,'Institution Evaluation'!$A$56:$K$346,3,0)&amp;""</f>
        <v/>
      </c>
      <c r="G323" s="10" t="str">
        <f>VLOOKUP($A323,'Institution Evaluation'!$A$56:$K$346,7,0)&amp;""</f>
        <v>Yes</v>
      </c>
      <c r="H323" s="10" t="str">
        <f>VLOOKUP($A323,'Institution Evaluation'!$A$56:$K$346,8,0)&amp;""</f>
        <v/>
      </c>
      <c r="I323" s="10" t="str">
        <f>VLOOKUP($A323,'Institution Evaluation'!$A$56:$K$346,9,0)&amp;""</f>
        <v>Standard Importance</v>
      </c>
      <c r="J323" s="10" t="str">
        <f>VLOOKUP($A323,'Institution Evaluation'!$A$56:$K$346,10,0)&amp;""</f>
        <v/>
      </c>
      <c r="K323" s="10">
        <f t="shared" si="76"/>
        <v>10</v>
      </c>
      <c r="L323" s="114">
        <f>IF($E323="Not Scored", "N/A",IF(AND($D323='Auto Responses'!$J$27,$H323=""),"N/A",IF(AND($D323='Auto Responses'!$J$27,$H323='Auto Responses'!$J$7),1,IF(AND($D323='Auto Responses'!$J$27,$H323='Auto Responses'!$J$8),0,IF(OR($F323=$G323,$H323='Auto Responses'!$J$7),1,0)))))</f>
        <v>0</v>
      </c>
      <c r="M323" s="10" t="str">
        <f>VLOOKUP($A323,'Institution Evaluation'!$A$56:$K$346,10,0)&amp;""</f>
        <v/>
      </c>
      <c r="N323" s="10">
        <f t="shared" si="77"/>
        <v>0</v>
      </c>
      <c r="O323" s="114" t="str">
        <f t="shared" si="79"/>
        <v>N/A</v>
      </c>
      <c r="P323" s="114" t="str">
        <f t="shared" si="78"/>
        <v>N/A</v>
      </c>
      <c r="Q323" s="114">
        <f t="shared" si="71"/>
        <v>0</v>
      </c>
      <c r="R323" s="114">
        <f t="shared" si="67"/>
        <v>0</v>
      </c>
      <c r="S323" s="114">
        <f t="shared" si="72"/>
        <v>0</v>
      </c>
      <c r="T323" s="114">
        <f t="shared" si="73"/>
        <v>0</v>
      </c>
      <c r="U323" s="114">
        <f t="shared" si="68"/>
        <v>86</v>
      </c>
      <c r="V323" s="114">
        <f t="shared" si="74"/>
        <v>0</v>
      </c>
    </row>
    <row r="324" spans="1:23" ht="56" x14ac:dyDescent="0.3">
      <c r="A324" s="10" t="str">
        <f>Questions!$A324</f>
        <v>AIML-05</v>
      </c>
      <c r="B324" s="10" t="str">
        <f t="shared" si="75"/>
        <v>AIML</v>
      </c>
      <c r="C324" s="10" t="str">
        <f>VLOOKUP($A324,Questions!$A$3:$L$333,2,0)&amp;""</f>
        <v>Have you limited access to your ML training data to only staff with an explicit business need?</v>
      </c>
      <c r="D324" s="10" t="str">
        <f>VLOOKUP($A324,Questions!$A$3:$L$333,11,0)&amp;""</f>
        <v/>
      </c>
      <c r="E324" s="10" t="str">
        <f>VLOOKUP($A324,Questions!$A$3:$L$333,12,0)&amp;""</f>
        <v>AI</v>
      </c>
      <c r="F324" s="10" t="str">
        <f>VLOOKUP($A324,'Institution Evaluation'!$A$56:$K$346,3,0)&amp;""</f>
        <v/>
      </c>
      <c r="G324" s="10" t="str">
        <f>VLOOKUP($A324,'Institution Evaluation'!$A$56:$K$346,7,0)&amp;""</f>
        <v>Yes</v>
      </c>
      <c r="H324" s="10" t="str">
        <f>VLOOKUP($A324,'Institution Evaluation'!$A$56:$K$346,8,0)&amp;""</f>
        <v/>
      </c>
      <c r="I324" s="10" t="str">
        <f>VLOOKUP($A324,'Institution Evaluation'!$A$56:$K$346,9,0)&amp;""</f>
        <v>Minor Importance</v>
      </c>
      <c r="J324" s="10" t="str">
        <f>VLOOKUP($A324,'Institution Evaluation'!$A$56:$K$346,10,0)&amp;""</f>
        <v/>
      </c>
      <c r="K324" s="10">
        <f t="shared" si="76"/>
        <v>5</v>
      </c>
      <c r="L324" s="114">
        <f>IF($E324="Not Scored", "N/A",IF(AND($D324='Auto Responses'!$J$27,$H324=""),"N/A",IF(AND($D324='Auto Responses'!$J$27,$H324='Auto Responses'!$J$7),1,IF(AND($D324='Auto Responses'!$J$27,$H324='Auto Responses'!$J$8),0,IF(OR($F324=$G324,$H324='Auto Responses'!$J$7),1,0)))))</f>
        <v>0</v>
      </c>
      <c r="M324" s="10" t="str">
        <f>VLOOKUP($A324,'Institution Evaluation'!$A$56:$K$346,10,0)&amp;""</f>
        <v/>
      </c>
      <c r="N324" s="10">
        <f t="shared" si="77"/>
        <v>0</v>
      </c>
      <c r="O324" s="114" t="str">
        <f t="shared" si="79"/>
        <v>N/A</v>
      </c>
      <c r="P324" s="114" t="str">
        <f t="shared" si="78"/>
        <v>N/A</v>
      </c>
      <c r="Q324" s="114">
        <f t="shared" si="71"/>
        <v>0</v>
      </c>
      <c r="R324" s="114">
        <f t="shared" si="67"/>
        <v>0</v>
      </c>
      <c r="S324" s="114">
        <f t="shared" si="72"/>
        <v>0</v>
      </c>
      <c r="T324" s="114">
        <f t="shared" si="73"/>
        <v>0</v>
      </c>
      <c r="U324" s="114">
        <f t="shared" si="68"/>
        <v>86</v>
      </c>
      <c r="V324" s="114">
        <f t="shared" si="74"/>
        <v>0</v>
      </c>
    </row>
    <row r="325" spans="1:23" ht="56" x14ac:dyDescent="0.3">
      <c r="A325" s="10" t="str">
        <f>Questions!$A325</f>
        <v>AIML-06</v>
      </c>
      <c r="B325" s="10" t="str">
        <f t="shared" si="75"/>
        <v>AIML</v>
      </c>
      <c r="C325" s="10" t="str">
        <f>VLOOKUP($A325,Questions!$A$3:$L$333,2,0)&amp;""</f>
        <v>Have you implemented adversarial training or other model defense mechanisms to protect your ML-related features?</v>
      </c>
      <c r="D325" s="10" t="str">
        <f>VLOOKUP($A325,Questions!$A$3:$L$333,11,0)&amp;""</f>
        <v/>
      </c>
      <c r="E325" s="10" t="str">
        <f>VLOOKUP($A325,Questions!$A$3:$L$333,12,0)&amp;""</f>
        <v>AI</v>
      </c>
      <c r="F325" s="10" t="str">
        <f>VLOOKUP($A325,'Institution Evaluation'!$A$56:$K$346,3,0)&amp;""</f>
        <v/>
      </c>
      <c r="G325" s="10" t="str">
        <f>VLOOKUP($A325,'Institution Evaluation'!$A$56:$K$346,7,0)&amp;""</f>
        <v>Yes</v>
      </c>
      <c r="H325" s="10" t="str">
        <f>VLOOKUP($A325,'Institution Evaluation'!$A$56:$K$346,8,0)&amp;""</f>
        <v/>
      </c>
      <c r="I325" s="10" t="str">
        <f>VLOOKUP($A325,'Institution Evaluation'!$A$56:$K$346,9,0)&amp;""</f>
        <v>Minor Importance</v>
      </c>
      <c r="J325" s="10" t="str">
        <f>VLOOKUP($A325,'Institution Evaluation'!$A$56:$K$346,10,0)&amp;""</f>
        <v/>
      </c>
      <c r="K325" s="10">
        <f t="shared" si="76"/>
        <v>5</v>
      </c>
      <c r="L325" s="114">
        <f>IF($E325="Not Scored", "N/A",IF(AND($D325='Auto Responses'!$J$27,$H325=""),"N/A",IF(AND($D325='Auto Responses'!$J$27,$H325='Auto Responses'!$J$7),1,IF(AND($D325='Auto Responses'!$J$27,$H325='Auto Responses'!$J$8),0,IF(OR($F325=$G325,$H325='Auto Responses'!$J$7),1,0)))))</f>
        <v>0</v>
      </c>
      <c r="M325" s="10" t="str">
        <f>VLOOKUP($A325,'Institution Evaluation'!$A$56:$K$346,10,0)&amp;""</f>
        <v/>
      </c>
      <c r="N325" s="10">
        <f t="shared" si="77"/>
        <v>0</v>
      </c>
      <c r="O325" s="114" t="str">
        <f t="shared" si="79"/>
        <v>N/A</v>
      </c>
      <c r="P325" s="114" t="str">
        <f t="shared" si="78"/>
        <v>N/A</v>
      </c>
      <c r="Q325" s="114">
        <f t="shared" si="71"/>
        <v>0</v>
      </c>
      <c r="R325" s="114">
        <f t="shared" ref="R325:R333" si="80">R324+Q325</f>
        <v>0</v>
      </c>
      <c r="S325" s="114">
        <f t="shared" si="72"/>
        <v>0</v>
      </c>
      <c r="T325" s="114">
        <f t="shared" si="73"/>
        <v>0</v>
      </c>
      <c r="U325" s="114">
        <f t="shared" ref="U325:U333" si="81">U324+T325</f>
        <v>86</v>
      </c>
      <c r="V325" s="114">
        <f t="shared" si="74"/>
        <v>0</v>
      </c>
    </row>
    <row r="326" spans="1:23" ht="56" x14ac:dyDescent="0.3">
      <c r="A326" s="10" t="str">
        <f>Questions!$A326</f>
        <v>AIML-07</v>
      </c>
      <c r="B326" s="10" t="str">
        <f t="shared" si="75"/>
        <v>AIML</v>
      </c>
      <c r="C326" s="10" t="str">
        <f>VLOOKUP($A326,Questions!$A$3:$L$333,2,0)&amp;""</f>
        <v>Do you make your ML model transparent through documentation and log inputs and outputs?</v>
      </c>
      <c r="D326" s="10" t="str">
        <f>VLOOKUP($A326,Questions!$A$3:$L$333,11,0)&amp;""</f>
        <v/>
      </c>
      <c r="E326" s="10" t="str">
        <f>VLOOKUP($A326,Questions!$A$3:$L$333,12,0)&amp;""</f>
        <v>AI</v>
      </c>
      <c r="F326" s="10" t="str">
        <f>VLOOKUP($A326,'Institution Evaluation'!$A$56:$K$346,3,0)&amp;""</f>
        <v/>
      </c>
      <c r="G326" s="10" t="str">
        <f>VLOOKUP($A326,'Institution Evaluation'!$A$56:$K$346,7,0)&amp;""</f>
        <v>Yes</v>
      </c>
      <c r="H326" s="10" t="str">
        <f>VLOOKUP($A326,'Institution Evaluation'!$A$56:$K$346,8,0)&amp;""</f>
        <v/>
      </c>
      <c r="I326" s="10" t="str">
        <f>VLOOKUP($A326,'Institution Evaluation'!$A$56:$K$346,9,0)&amp;""</f>
        <v>Minor Importance</v>
      </c>
      <c r="J326" s="10" t="str">
        <f>VLOOKUP($A326,'Institution Evaluation'!$A$56:$K$346,10,0)&amp;""</f>
        <v/>
      </c>
      <c r="K326" s="10">
        <f t="shared" si="76"/>
        <v>5</v>
      </c>
      <c r="L326" s="114">
        <f>IF($E326="Not Scored", "N/A",IF(AND($D326='Auto Responses'!$J$27,$H326=""),"N/A",IF(AND($D326='Auto Responses'!$J$27,$H326='Auto Responses'!$J$7),1,IF(AND($D326='Auto Responses'!$J$27,$H326='Auto Responses'!$J$8),0,IF(OR($F326=$G326,$H326='Auto Responses'!$J$7),1,0)))))</f>
        <v>0</v>
      </c>
      <c r="M326" s="10" t="str">
        <f>VLOOKUP($A326,'Institution Evaluation'!$A$56:$K$346,10,0)&amp;""</f>
        <v/>
      </c>
      <c r="N326" s="10">
        <f t="shared" si="77"/>
        <v>0</v>
      </c>
      <c r="O326" s="114" t="str">
        <f t="shared" si="79"/>
        <v>N/A</v>
      </c>
      <c r="P326" s="114" t="str">
        <f t="shared" si="78"/>
        <v>N/A</v>
      </c>
      <c r="Q326" s="114">
        <f t="shared" si="71"/>
        <v>0</v>
      </c>
      <c r="R326" s="114">
        <f t="shared" si="80"/>
        <v>0</v>
      </c>
      <c r="S326" s="114">
        <f t="shared" si="72"/>
        <v>0</v>
      </c>
      <c r="T326" s="114">
        <f t="shared" si="73"/>
        <v>0</v>
      </c>
      <c r="U326" s="114">
        <f t="shared" si="81"/>
        <v>86</v>
      </c>
      <c r="V326" s="114">
        <f t="shared" si="74"/>
        <v>0</v>
      </c>
    </row>
    <row r="327" spans="1:23" ht="56" x14ac:dyDescent="0.3">
      <c r="A327" s="10" t="str">
        <f>Questions!$A327</f>
        <v>AIML-08</v>
      </c>
      <c r="B327" s="10" t="str">
        <f t="shared" si="75"/>
        <v>AIML</v>
      </c>
      <c r="C327" s="10" t="str">
        <f>VLOOKUP($A327,Questions!$A$3:$L$333,2,0)&amp;""</f>
        <v>Do you watermark your ML training data?</v>
      </c>
      <c r="D327" s="10" t="str">
        <f>VLOOKUP($A327,Questions!$A$3:$L$333,11,0)&amp;""</f>
        <v/>
      </c>
      <c r="E327" s="10" t="str">
        <f>VLOOKUP($A327,Questions!$A$3:$L$333,12,0)&amp;""</f>
        <v>AI</v>
      </c>
      <c r="F327" s="10" t="str">
        <f>VLOOKUP($A327,'Institution Evaluation'!$A$56:$K$346,3,0)&amp;""</f>
        <v/>
      </c>
      <c r="G327" s="10" t="str">
        <f>VLOOKUP($A327,'Institution Evaluation'!$A$56:$K$346,7,0)&amp;""</f>
        <v>Yes</v>
      </c>
      <c r="H327" s="10" t="str">
        <f>VLOOKUP($A327,'Institution Evaluation'!$A$56:$K$346,8,0)&amp;""</f>
        <v/>
      </c>
      <c r="I327" s="10" t="str">
        <f>VLOOKUP($A327,'Institution Evaluation'!$A$56:$K$346,9,0)&amp;""</f>
        <v>Minor Importance</v>
      </c>
      <c r="J327" s="10" t="str">
        <f>VLOOKUP($A327,'Institution Evaluation'!$A$56:$K$346,10,0)&amp;""</f>
        <v/>
      </c>
      <c r="K327" s="10">
        <f t="shared" si="76"/>
        <v>5</v>
      </c>
      <c r="L327" s="114">
        <f>IF($E327="Not Scored", "N/A",IF(AND($D327='Auto Responses'!$J$27,$H327=""),"N/A",IF(AND($D327='Auto Responses'!$J$27,$H327='Auto Responses'!$J$7),1,IF(AND($D327='Auto Responses'!$J$27,$H327='Auto Responses'!$J$8),0,IF(OR($F327=$G327,$H327='Auto Responses'!$J$7),1,0)))))</f>
        <v>0</v>
      </c>
      <c r="M327" s="10" t="str">
        <f>VLOOKUP($A327,'Institution Evaluation'!$A$56:$K$346,10,0)&amp;""</f>
        <v/>
      </c>
      <c r="N327" s="10">
        <f t="shared" si="77"/>
        <v>0</v>
      </c>
      <c r="O327" s="114" t="str">
        <f t="shared" si="79"/>
        <v>N/A</v>
      </c>
      <c r="P327" s="114" t="str">
        <f t="shared" si="78"/>
        <v>N/A</v>
      </c>
      <c r="Q327" s="114">
        <f t="shared" si="71"/>
        <v>0</v>
      </c>
      <c r="R327" s="114">
        <f t="shared" si="80"/>
        <v>0</v>
      </c>
      <c r="S327" s="114">
        <f t="shared" si="72"/>
        <v>0</v>
      </c>
      <c r="T327" s="114">
        <f t="shared" si="73"/>
        <v>0</v>
      </c>
      <c r="U327" s="114">
        <f t="shared" si="81"/>
        <v>86</v>
      </c>
      <c r="V327" s="114">
        <f t="shared" si="74"/>
        <v>0</v>
      </c>
    </row>
    <row r="328" spans="1:23" ht="56" x14ac:dyDescent="0.3">
      <c r="A328" s="10" t="str">
        <f>Questions!$A328</f>
        <v>AILM-01</v>
      </c>
      <c r="B328" s="10" t="str">
        <f t="shared" si="75"/>
        <v>AILM</v>
      </c>
      <c r="C328" s="10" t="str">
        <f>VLOOKUP($A328,Questions!$A$3:$L$333,2,0)&amp;""</f>
        <v>Do you limit your solution's LLM privileges by default?*</v>
      </c>
      <c r="D328" s="10" t="str">
        <f>VLOOKUP($A328,Questions!$A$3:$L$333,11,0)&amp;""</f>
        <v/>
      </c>
      <c r="E328" s="10" t="str">
        <f>VLOOKUP($A328,Questions!$A$3:$L$333,12,0)&amp;""</f>
        <v>AI</v>
      </c>
      <c r="F328" s="10" t="str">
        <f>VLOOKUP($A328,'Institution Evaluation'!$A$56:$K$346,3,0)&amp;""</f>
        <v/>
      </c>
      <c r="G328" s="10" t="str">
        <f>VLOOKUP($A328,'Institution Evaluation'!$A$56:$K$346,7,0)&amp;""</f>
        <v>Yes</v>
      </c>
      <c r="H328" s="10" t="str">
        <f>VLOOKUP($A328,'Institution Evaluation'!$A$56:$K$346,8,0)&amp;""</f>
        <v/>
      </c>
      <c r="I328" s="10" t="str">
        <f>VLOOKUP($A328,'Institution Evaluation'!$A$56:$K$346,9,0)&amp;""</f>
        <v>Critical Importance</v>
      </c>
      <c r="J328" s="10" t="str">
        <f>VLOOKUP($A328,'Institution Evaluation'!$A$56:$K$346,10,0)&amp;""</f>
        <v/>
      </c>
      <c r="K328" s="10">
        <f t="shared" si="76"/>
        <v>20</v>
      </c>
      <c r="L328" s="114">
        <f>IF($E328="Not Scored", "N/A",IF(AND($D328='Auto Responses'!$J$27,$H328=""),"N/A",IF(AND($D328='Auto Responses'!$J$27,$H328='Auto Responses'!$J$7),1,IF(AND($D328='Auto Responses'!$J$27,$H328='Auto Responses'!$J$8),0,IF(OR($F328=$G328,$H328='Auto Responses'!$J$7),1,0)))))</f>
        <v>0</v>
      </c>
      <c r="M328" s="10" t="str">
        <f>VLOOKUP($A328,'Institution Evaluation'!$A$56:$K$346,10,0)&amp;""</f>
        <v/>
      </c>
      <c r="N328" s="10">
        <f t="shared" si="77"/>
        <v>1</v>
      </c>
      <c r="O328" s="114" t="str">
        <f t="shared" ref="O328:O333" si="82">IF(OR($F$20="No",$F$304="No",$E328="Not Scored"),"N/A",IF($J328="",$K328,IF($J328="Minor Importance",5,IF($J328="Standard Importance",10,IF($J328="Critical Importance",20,0)))))</f>
        <v>N/A</v>
      </c>
      <c r="P328" s="114" t="str">
        <f t="shared" si="78"/>
        <v>N/A</v>
      </c>
      <c r="Q328" s="114">
        <f t="shared" si="71"/>
        <v>0</v>
      </c>
      <c r="R328" s="114">
        <f t="shared" si="80"/>
        <v>0</v>
      </c>
      <c r="S328" s="114">
        <f t="shared" si="72"/>
        <v>0</v>
      </c>
      <c r="T328" s="114">
        <f t="shared" si="73"/>
        <v>1</v>
      </c>
      <c r="U328" s="114">
        <f t="shared" si="81"/>
        <v>87</v>
      </c>
      <c r="V328" s="114">
        <f t="shared" si="74"/>
        <v>87</v>
      </c>
    </row>
    <row r="329" spans="1:23" ht="56" x14ac:dyDescent="0.3">
      <c r="A329" s="10" t="str">
        <f>Questions!$A329</f>
        <v>AILM-02</v>
      </c>
      <c r="B329" s="10" t="str">
        <f t="shared" si="75"/>
        <v>AILM</v>
      </c>
      <c r="C329" s="10" t="str">
        <f>VLOOKUP($A329,Questions!$A$3:$L$333,2,0)&amp;""</f>
        <v>Is your LLM training data vetted, validated, and verified before training the solution's AI model?*</v>
      </c>
      <c r="D329" s="10" t="str">
        <f>VLOOKUP($A329,Questions!$A$3:$L$333,11,0)&amp;""</f>
        <v/>
      </c>
      <c r="E329" s="10" t="str">
        <f>VLOOKUP($A329,Questions!$A$3:$L$333,12,0)&amp;""</f>
        <v>AI</v>
      </c>
      <c r="F329" s="10" t="str">
        <f>VLOOKUP($A329,'Institution Evaluation'!$A$56:$K$346,3,0)&amp;""</f>
        <v/>
      </c>
      <c r="G329" s="10" t="str">
        <f>VLOOKUP($A329,'Institution Evaluation'!$A$56:$K$346,7,0)&amp;""</f>
        <v>Yes</v>
      </c>
      <c r="H329" s="10" t="str">
        <f>VLOOKUP($A329,'Institution Evaluation'!$A$56:$K$346,8,0)&amp;""</f>
        <v/>
      </c>
      <c r="I329" s="10" t="str">
        <f>VLOOKUP($A329,'Institution Evaluation'!$A$56:$K$346,9,0)&amp;""</f>
        <v>Critical Importance</v>
      </c>
      <c r="J329" s="10" t="str">
        <f>VLOOKUP($A329,'Institution Evaluation'!$A$56:$K$346,10,0)&amp;""</f>
        <v/>
      </c>
      <c r="K329" s="10">
        <f t="shared" si="76"/>
        <v>20</v>
      </c>
      <c r="L329" s="114">
        <f>IF($E329="Not Scored", "N/A",IF(AND($D329='Auto Responses'!$J$27,$H329=""),"N/A",IF(AND($D329='Auto Responses'!$J$27,$H329='Auto Responses'!$J$7),1,IF(AND($D329='Auto Responses'!$J$27,$H329='Auto Responses'!$J$8),0,IF(OR($F329=$G329,$H329='Auto Responses'!$J$7),1,0)))))</f>
        <v>0</v>
      </c>
      <c r="M329" s="10" t="str">
        <f>VLOOKUP($A329,'Institution Evaluation'!$A$56:$K$346,10,0)&amp;""</f>
        <v/>
      </c>
      <c r="N329" s="10">
        <f t="shared" si="77"/>
        <v>1</v>
      </c>
      <c r="O329" s="114" t="str">
        <f t="shared" si="82"/>
        <v>N/A</v>
      </c>
      <c r="P329" s="114" t="str">
        <f t="shared" si="78"/>
        <v>N/A</v>
      </c>
      <c r="Q329" s="114">
        <f t="shared" si="71"/>
        <v>0</v>
      </c>
      <c r="R329" s="114">
        <f t="shared" si="80"/>
        <v>0</v>
      </c>
      <c r="S329" s="114">
        <f t="shared" si="72"/>
        <v>0</v>
      </c>
      <c r="T329" s="114">
        <f t="shared" si="73"/>
        <v>1</v>
      </c>
      <c r="U329" s="114">
        <f t="shared" si="81"/>
        <v>88</v>
      </c>
      <c r="V329" s="114">
        <f t="shared" si="74"/>
        <v>88</v>
      </c>
    </row>
    <row r="330" spans="1:23" ht="56" x14ac:dyDescent="0.3">
      <c r="A330" s="10" t="str">
        <f>Questions!$A330</f>
        <v>AILM-03</v>
      </c>
      <c r="B330" s="10" t="str">
        <f t="shared" si="75"/>
        <v>AILM</v>
      </c>
      <c r="C330" s="10" t="str">
        <f>VLOOKUP($A330,Questions!$A$3:$L$333,2,0)&amp;""</f>
        <v>Do any actions taken by your solution's LLM features or plugins require human intervention?*</v>
      </c>
      <c r="D330" s="10" t="str">
        <f>VLOOKUP($A330,Questions!$A$3:$L$333,11,0)&amp;""</f>
        <v/>
      </c>
      <c r="E330" s="10" t="str">
        <f>VLOOKUP($A330,Questions!$A$3:$L$333,12,0)&amp;""</f>
        <v>AI</v>
      </c>
      <c r="F330" s="10" t="str">
        <f>VLOOKUP($A330,'Institution Evaluation'!$A$56:$K$346,3,0)&amp;""</f>
        <v/>
      </c>
      <c r="G330" s="10" t="str">
        <f>VLOOKUP($A330,'Institution Evaluation'!$A$56:$K$346,7,0)&amp;""</f>
        <v>Yes</v>
      </c>
      <c r="H330" s="10" t="str">
        <f>VLOOKUP($A330,'Institution Evaluation'!$A$56:$K$346,8,0)&amp;""</f>
        <v/>
      </c>
      <c r="I330" s="10" t="str">
        <f>VLOOKUP($A330,'Institution Evaluation'!$A$56:$K$346,9,0)&amp;""</f>
        <v>Critical Importance</v>
      </c>
      <c r="J330" s="10" t="str">
        <f>VLOOKUP($A330,'Institution Evaluation'!$A$56:$K$346,10,0)&amp;""</f>
        <v/>
      </c>
      <c r="K330" s="10">
        <f t="shared" si="76"/>
        <v>20</v>
      </c>
      <c r="L330" s="114">
        <f>IF($E330="Not Scored", "N/A",IF(AND($D330='Auto Responses'!$J$27,$H330=""),"N/A",IF(AND($D330='Auto Responses'!$J$27,$H330='Auto Responses'!$J$7),1,IF(AND($D330='Auto Responses'!$J$27,$H330='Auto Responses'!$J$8),0,IF(OR($F330=$G330,$H330='Auto Responses'!$J$7),1,0)))))</f>
        <v>0</v>
      </c>
      <c r="M330" s="10" t="str">
        <f>VLOOKUP($A330,'Institution Evaluation'!$A$56:$K$346,10,0)&amp;""</f>
        <v/>
      </c>
      <c r="N330" s="10">
        <f t="shared" si="77"/>
        <v>1</v>
      </c>
      <c r="O330" s="114" t="str">
        <f t="shared" si="82"/>
        <v>N/A</v>
      </c>
      <c r="P330" s="114" t="str">
        <f t="shared" si="78"/>
        <v>N/A</v>
      </c>
      <c r="Q330" s="114">
        <f t="shared" si="71"/>
        <v>0</v>
      </c>
      <c r="R330" s="114">
        <f t="shared" si="80"/>
        <v>0</v>
      </c>
      <c r="S330" s="114">
        <f t="shared" si="72"/>
        <v>0</v>
      </c>
      <c r="T330" s="114">
        <f t="shared" si="73"/>
        <v>1</v>
      </c>
      <c r="U330" s="114">
        <f t="shared" si="81"/>
        <v>89</v>
      </c>
      <c r="V330" s="114">
        <f t="shared" si="74"/>
        <v>89</v>
      </c>
    </row>
    <row r="331" spans="1:23" ht="56" x14ac:dyDescent="0.3">
      <c r="A331" s="10" t="str">
        <f>Questions!$A331</f>
        <v>AILM-04</v>
      </c>
      <c r="B331" s="10" t="str">
        <f t="shared" si="75"/>
        <v>AILM</v>
      </c>
      <c r="C331" s="10" t="str">
        <f>VLOOKUP($A331,Questions!$A$3:$L$333,2,0)&amp;""</f>
        <v>Do you limit multiple LLM model plugins being called as part of a single input?*</v>
      </c>
      <c r="D331" s="10" t="str">
        <f>VLOOKUP($A331,Questions!$A$3:$L$333,11,0)&amp;""</f>
        <v/>
      </c>
      <c r="E331" s="10" t="str">
        <f>VLOOKUP($A331,Questions!$A$3:$L$333,12,0)&amp;""</f>
        <v>AI</v>
      </c>
      <c r="F331" s="10" t="str">
        <f>VLOOKUP($A331,'Institution Evaluation'!$A$56:$K$346,3,0)&amp;""</f>
        <v/>
      </c>
      <c r="G331" s="10" t="str">
        <f>VLOOKUP($A331,'Institution Evaluation'!$A$56:$K$346,7,0)&amp;""</f>
        <v>Yes</v>
      </c>
      <c r="H331" s="10" t="str">
        <f>VLOOKUP($A331,'Institution Evaluation'!$A$56:$K$346,8,0)&amp;""</f>
        <v/>
      </c>
      <c r="I331" s="10" t="str">
        <f>VLOOKUP($A331,'Institution Evaluation'!$A$56:$K$346,9,0)&amp;""</f>
        <v>Critical Importance</v>
      </c>
      <c r="J331" s="10" t="str">
        <f>VLOOKUP($A331,'Institution Evaluation'!$A$56:$K$346,10,0)&amp;""</f>
        <v/>
      </c>
      <c r="K331" s="10">
        <f t="shared" si="76"/>
        <v>20</v>
      </c>
      <c r="L331" s="114">
        <f>IF($E331="Not Scored", "N/A",IF(AND($D331='Auto Responses'!$J$27,$H331=""),"N/A",IF(AND($D331='Auto Responses'!$J$27,$H331='Auto Responses'!$J$7),1,IF(AND($D331='Auto Responses'!$J$27,$H331='Auto Responses'!$J$8),0,IF(OR($F331=$G331,$H331='Auto Responses'!$J$7),1,0)))))</f>
        <v>0</v>
      </c>
      <c r="M331" s="10" t="str">
        <f>VLOOKUP($A331,'Institution Evaluation'!$A$56:$K$346,10,0)&amp;""</f>
        <v/>
      </c>
      <c r="N331" s="10">
        <f t="shared" si="77"/>
        <v>1</v>
      </c>
      <c r="O331" s="114" t="str">
        <f t="shared" si="82"/>
        <v>N/A</v>
      </c>
      <c r="P331" s="114" t="str">
        <f t="shared" si="78"/>
        <v>N/A</v>
      </c>
      <c r="Q331" s="114">
        <f t="shared" si="71"/>
        <v>0</v>
      </c>
      <c r="R331" s="114">
        <f t="shared" si="80"/>
        <v>0</v>
      </c>
      <c r="S331" s="114">
        <f t="shared" si="72"/>
        <v>0</v>
      </c>
      <c r="T331" s="114">
        <f t="shared" si="73"/>
        <v>1</v>
      </c>
      <c r="U331" s="114">
        <f t="shared" si="81"/>
        <v>90</v>
      </c>
      <c r="V331" s="114">
        <f t="shared" si="74"/>
        <v>90</v>
      </c>
    </row>
    <row r="332" spans="1:23" ht="56" x14ac:dyDescent="0.3">
      <c r="A332" s="10" t="str">
        <f>Questions!$A332</f>
        <v>AILM-05</v>
      </c>
      <c r="B332" s="10" t="str">
        <f t="shared" si="75"/>
        <v>AILM</v>
      </c>
      <c r="C332" s="10" t="str">
        <f>VLOOKUP($A332,Questions!$A$3:$L$333,2,0)&amp;""</f>
        <v>Do you limit your solution's LLM resource use per request, per step, and per action?</v>
      </c>
      <c r="D332" s="10" t="str">
        <f>VLOOKUP($A332,Questions!$A$3:$L$333,11,0)&amp;""</f>
        <v/>
      </c>
      <c r="E332" s="10" t="str">
        <f>VLOOKUP($A332,Questions!$A$3:$L$333,12,0)&amp;""</f>
        <v>AI</v>
      </c>
      <c r="F332" s="10" t="str">
        <f>VLOOKUP($A332,'Institution Evaluation'!$A$56:$K$346,3,0)&amp;""</f>
        <v/>
      </c>
      <c r="G332" s="10" t="str">
        <f>VLOOKUP($A332,'Institution Evaluation'!$A$56:$K$346,7,0)&amp;""</f>
        <v>Yes</v>
      </c>
      <c r="H332" s="10" t="str">
        <f>VLOOKUP($A332,'Institution Evaluation'!$A$56:$K$346,8,0)&amp;""</f>
        <v/>
      </c>
      <c r="I332" s="10" t="str">
        <f>VLOOKUP($A332,'Institution Evaluation'!$A$56:$K$346,9,0)&amp;""</f>
        <v>Standard Importance</v>
      </c>
      <c r="J332" s="10" t="str">
        <f>VLOOKUP($A332,'Institution Evaluation'!$A$56:$K$346,10,0)&amp;""</f>
        <v/>
      </c>
      <c r="K332" s="10">
        <f t="shared" si="76"/>
        <v>10</v>
      </c>
      <c r="L332" s="114">
        <f>IF($E332="Not Scored", "N/A",IF(AND($D332='Auto Responses'!$J$27,$H332=""),"N/A",IF(AND($D332='Auto Responses'!$J$27,$H332='Auto Responses'!$J$7),1,IF(AND($D332='Auto Responses'!$J$27,$H332='Auto Responses'!$J$8),0,IF(OR($F332=$G332,$H332='Auto Responses'!$J$7),1,0)))))</f>
        <v>0</v>
      </c>
      <c r="M332" s="10" t="str">
        <f>VLOOKUP($A332,'Institution Evaluation'!$A$56:$K$346,10,0)&amp;""</f>
        <v/>
      </c>
      <c r="N332" s="10">
        <f t="shared" si="77"/>
        <v>0</v>
      </c>
      <c r="O332" s="114" t="str">
        <f t="shared" si="82"/>
        <v>N/A</v>
      </c>
      <c r="P332" s="114" t="str">
        <f t="shared" si="78"/>
        <v>N/A</v>
      </c>
      <c r="Q332" s="114">
        <f t="shared" si="71"/>
        <v>0</v>
      </c>
      <c r="R332" s="114">
        <f t="shared" si="80"/>
        <v>0</v>
      </c>
      <c r="S332" s="114">
        <f t="shared" si="72"/>
        <v>0</v>
      </c>
      <c r="T332" s="114">
        <f t="shared" si="73"/>
        <v>0</v>
      </c>
      <c r="U332" s="114">
        <f t="shared" si="81"/>
        <v>90</v>
      </c>
      <c r="V332" s="114">
        <f t="shared" si="74"/>
        <v>0</v>
      </c>
    </row>
    <row r="333" spans="1:23" ht="36" customHeight="1" x14ac:dyDescent="0.3">
      <c r="A333" s="10" t="str">
        <f>Questions!$A333</f>
        <v>AILM-06</v>
      </c>
      <c r="B333" s="10" t="str">
        <f t="shared" si="75"/>
        <v>AILM</v>
      </c>
      <c r="C333" s="10" t="str">
        <f>VLOOKUP($A333,Questions!$A$3:$L$333,2,0)&amp;""</f>
        <v>Do you leverage LLM model tuning or other model validation mechanisms?</v>
      </c>
      <c r="D333" s="10" t="str">
        <f>VLOOKUP($A333,Questions!$A$3:$L$333,11,0)&amp;""</f>
        <v/>
      </c>
      <c r="E333" s="10" t="str">
        <f>VLOOKUP($A333,Questions!$A$3:$L$333,12,0)&amp;""</f>
        <v>AI</v>
      </c>
      <c r="F333" s="10" t="str">
        <f>VLOOKUP($A333,'Institution Evaluation'!$A$56:$K$346,3,0)&amp;""</f>
        <v/>
      </c>
      <c r="G333" s="10" t="str">
        <f>VLOOKUP($A333,'Institution Evaluation'!$A$56:$K$346,7,0)&amp;""</f>
        <v>Yes</v>
      </c>
      <c r="H333" s="10" t="str">
        <f>VLOOKUP($A333,'Institution Evaluation'!$A$56:$K$346,8,0)&amp;""</f>
        <v/>
      </c>
      <c r="I333" s="10" t="str">
        <f>VLOOKUP($A333,'Institution Evaluation'!$A$56:$K$346,9,0)&amp;""</f>
        <v>Standard Importance</v>
      </c>
      <c r="J333" s="10" t="str">
        <f>VLOOKUP($A333,'Institution Evaluation'!$A$56:$K$346,10,0)&amp;""</f>
        <v/>
      </c>
      <c r="K333" s="10">
        <f t="shared" si="76"/>
        <v>10</v>
      </c>
      <c r="L333" s="114">
        <f>IF($E333="Not Scored", "N/A",IF(AND($D333='Auto Responses'!$J$27,$H333=""),"N/A",IF(AND($D333='Auto Responses'!$J$27,$H333='Auto Responses'!$J$7),1,IF(AND($D333='Auto Responses'!$J$27,$H333='Auto Responses'!$J$8),0,IF(OR($F333=$G333,$H333='Auto Responses'!$J$7),1,0)))))</f>
        <v>0</v>
      </c>
      <c r="M333" s="10" t="str">
        <f>VLOOKUP($A333,'Institution Evaluation'!$A$56:$K$346,10,0)&amp;""</f>
        <v/>
      </c>
      <c r="N333" s="10">
        <f t="shared" si="77"/>
        <v>0</v>
      </c>
      <c r="O333" s="114" t="str">
        <f t="shared" si="82"/>
        <v>N/A</v>
      </c>
      <c r="P333" s="114" t="str">
        <f t="shared" si="78"/>
        <v>N/A</v>
      </c>
      <c r="Q333" s="114">
        <f t="shared" si="71"/>
        <v>0</v>
      </c>
      <c r="R333" s="114">
        <f t="shared" si="80"/>
        <v>0</v>
      </c>
      <c r="S333" s="114">
        <f t="shared" si="72"/>
        <v>0</v>
      </c>
      <c r="T333" s="114">
        <f t="shared" si="73"/>
        <v>0</v>
      </c>
      <c r="U333" s="114">
        <f t="shared" si="81"/>
        <v>90</v>
      </c>
      <c r="V333" s="114">
        <f t="shared" si="74"/>
        <v>0</v>
      </c>
      <c r="W333" s="256" t="s">
        <v>1531</v>
      </c>
    </row>
    <row r="334" spans="1:23" ht="15.5" thickBot="1" x14ac:dyDescent="0.35">
      <c r="A334" s="9"/>
      <c r="B334" s="9"/>
      <c r="C334" s="9"/>
      <c r="D334" s="9"/>
      <c r="E334" s="9"/>
      <c r="F334" s="9"/>
      <c r="G334" s="9"/>
      <c r="H334" s="9"/>
      <c r="I334" s="9"/>
      <c r="J334" s="9"/>
      <c r="K334" s="9"/>
    </row>
    <row r="335" spans="1:23" ht="15.5" thickBot="1" x14ac:dyDescent="0.35">
      <c r="A335" s="9"/>
      <c r="B335" s="9"/>
      <c r="C335" s="9"/>
      <c r="D335" s="9"/>
      <c r="E335" s="9"/>
      <c r="F335" s="9"/>
      <c r="G335" s="9"/>
      <c r="H335" s="9"/>
      <c r="I335" s="9"/>
      <c r="J335" s="9"/>
      <c r="K335" s="9"/>
      <c r="Q335" s="167">
        <f>SUM($Q3:$Q334)</f>
        <v>0</v>
      </c>
      <c r="R335" s="168"/>
      <c r="S335" s="168"/>
      <c r="T335" s="169">
        <f>SUM($T3:$T334)</f>
        <v>90</v>
      </c>
    </row>
    <row r="336" spans="1:23" x14ac:dyDescent="0.3">
      <c r="A336" s="256" t="s">
        <v>1539</v>
      </c>
      <c r="B336" s="9"/>
      <c r="C336" s="9"/>
      <c r="D336" s="9"/>
      <c r="E336" s="9"/>
      <c r="F336" s="9"/>
      <c r="G336" s="9"/>
      <c r="H336" s="9"/>
      <c r="I336" s="9"/>
      <c r="J336" s="9"/>
      <c r="K336" s="9"/>
    </row>
    <row r="337" spans="1:11" hidden="1" x14ac:dyDescent="0.3">
      <c r="A337" s="9"/>
      <c r="B337" s="9"/>
      <c r="C337" s="9"/>
      <c r="D337" s="9"/>
      <c r="E337" s="9"/>
      <c r="F337" s="9"/>
      <c r="G337" s="9"/>
      <c r="H337" s="9"/>
      <c r="I337" s="9"/>
      <c r="J337" s="9"/>
      <c r="K337" s="9"/>
    </row>
    <row r="338" spans="1:11" hidden="1" x14ac:dyDescent="0.3">
      <c r="A338" s="9"/>
      <c r="B338" s="9"/>
      <c r="C338" s="9"/>
      <c r="D338" s="9"/>
      <c r="E338" s="9"/>
      <c r="F338" s="9"/>
      <c r="G338" s="9"/>
      <c r="H338" s="9"/>
      <c r="I338" s="9"/>
      <c r="J338" s="9"/>
      <c r="K338" s="9"/>
    </row>
    <row r="339" spans="1:11" hidden="1" x14ac:dyDescent="0.3">
      <c r="A339" s="9"/>
      <c r="B339" s="9"/>
      <c r="C339" s="9"/>
      <c r="D339" s="9"/>
      <c r="E339" s="9"/>
      <c r="F339" s="9"/>
      <c r="G339" s="9"/>
      <c r="H339" s="9"/>
      <c r="I339" s="9"/>
      <c r="J339" s="9"/>
      <c r="K339" s="9"/>
    </row>
    <row r="340" spans="1:11" hidden="1" x14ac:dyDescent="0.3">
      <c r="A340" s="9"/>
      <c r="B340" s="9"/>
      <c r="C340" s="9"/>
      <c r="D340" s="9"/>
      <c r="E340" s="9"/>
      <c r="F340" s="9"/>
      <c r="G340" s="9"/>
      <c r="H340" s="9"/>
      <c r="I340" s="9"/>
      <c r="J340" s="9"/>
      <c r="K340" s="9"/>
    </row>
    <row r="341" spans="1:11" hidden="1" x14ac:dyDescent="0.3">
      <c r="A341" s="9"/>
      <c r="B341" s="9"/>
      <c r="C341" s="9"/>
      <c r="D341" s="9"/>
      <c r="E341" s="9"/>
      <c r="F341" s="9"/>
      <c r="G341" s="9"/>
      <c r="H341" s="9"/>
      <c r="I341" s="9"/>
      <c r="J341" s="9"/>
      <c r="K341" s="9"/>
    </row>
    <row r="342" spans="1:11" hidden="1" x14ac:dyDescent="0.3">
      <c r="A342" s="9"/>
      <c r="B342" s="9"/>
      <c r="C342" s="9"/>
      <c r="D342" s="9"/>
      <c r="E342" s="9"/>
      <c r="F342" s="9"/>
      <c r="G342" s="9"/>
      <c r="H342" s="9"/>
      <c r="I342" s="9"/>
      <c r="J342" s="9"/>
      <c r="K342" s="9"/>
    </row>
    <row r="343" spans="1:11" hidden="1" x14ac:dyDescent="0.3">
      <c r="A343" s="9"/>
      <c r="B343" s="9"/>
      <c r="C343" s="9"/>
      <c r="D343" s="9"/>
      <c r="E343" s="9"/>
      <c r="F343" s="9"/>
      <c r="G343" s="9"/>
      <c r="H343" s="9"/>
      <c r="I343" s="9"/>
      <c r="J343" s="9"/>
      <c r="K343" s="9"/>
    </row>
    <row r="344" spans="1:11" hidden="1" x14ac:dyDescent="0.3">
      <c r="A344" s="9"/>
      <c r="B344" s="9"/>
      <c r="C344" s="9"/>
      <c r="D344" s="9"/>
      <c r="E344" s="9"/>
      <c r="F344" s="9"/>
      <c r="G344" s="9"/>
      <c r="H344" s="9"/>
      <c r="I344" s="9"/>
      <c r="J344" s="9"/>
      <c r="K344" s="9"/>
    </row>
    <row r="345" spans="1:11" hidden="1" x14ac:dyDescent="0.3">
      <c r="A345" s="9"/>
      <c r="B345" s="9"/>
      <c r="C345" s="9"/>
      <c r="D345" s="9"/>
      <c r="E345" s="9"/>
      <c r="F345" s="9"/>
      <c r="G345" s="9"/>
      <c r="H345" s="9"/>
      <c r="I345" s="9"/>
      <c r="J345" s="9"/>
      <c r="K345" s="9"/>
    </row>
    <row r="346" spans="1:11" hidden="1" x14ac:dyDescent="0.3">
      <c r="A346" s="9"/>
      <c r="B346" s="9"/>
      <c r="C346" s="9"/>
      <c r="D346" s="9"/>
      <c r="E346" s="9"/>
      <c r="F346" s="9"/>
      <c r="G346" s="9"/>
      <c r="H346" s="9"/>
      <c r="I346" s="9"/>
      <c r="J346" s="9"/>
      <c r="K346" s="9"/>
    </row>
    <row r="347" spans="1:11" hidden="1" x14ac:dyDescent="0.3">
      <c r="A347" s="9"/>
      <c r="B347" s="9"/>
      <c r="C347" s="9"/>
      <c r="D347" s="9"/>
      <c r="E347" s="9"/>
      <c r="F347" s="9"/>
      <c r="G347" s="9"/>
      <c r="H347" s="9"/>
      <c r="I347" s="9"/>
      <c r="J347" s="9"/>
      <c r="K347" s="9"/>
    </row>
    <row r="348" spans="1:11" hidden="1" x14ac:dyDescent="0.3">
      <c r="A348" s="9"/>
      <c r="B348" s="9"/>
      <c r="C348" s="9"/>
      <c r="D348" s="9"/>
      <c r="E348" s="9"/>
      <c r="F348" s="9"/>
      <c r="G348" s="9"/>
      <c r="H348" s="9"/>
      <c r="I348" s="9"/>
      <c r="J348" s="9"/>
      <c r="K348" s="9"/>
    </row>
    <row r="349" spans="1:11" hidden="1" x14ac:dyDescent="0.3">
      <c r="A349" s="9"/>
      <c r="B349" s="9"/>
      <c r="C349" s="9"/>
      <c r="D349" s="9"/>
      <c r="E349" s="9"/>
      <c r="F349" s="9"/>
      <c r="G349" s="9"/>
      <c r="H349" s="9"/>
      <c r="I349" s="9"/>
      <c r="J349" s="9"/>
      <c r="K349" s="9"/>
    </row>
    <row r="350" spans="1:11" hidden="1" x14ac:dyDescent="0.3">
      <c r="A350" s="9"/>
      <c r="B350" s="9"/>
      <c r="C350" s="9"/>
      <c r="D350" s="9"/>
      <c r="E350" s="9"/>
      <c r="F350" s="9"/>
      <c r="G350" s="9"/>
      <c r="H350" s="9"/>
      <c r="I350" s="9"/>
      <c r="J350" s="9"/>
      <c r="K350" s="9"/>
    </row>
    <row r="351" spans="1:11" hidden="1" x14ac:dyDescent="0.3">
      <c r="A351" s="9"/>
      <c r="B351" s="9"/>
      <c r="C351" s="9"/>
      <c r="D351" s="9"/>
      <c r="E351" s="9"/>
      <c r="F351" s="9"/>
      <c r="G351" s="9"/>
      <c r="H351" s="9"/>
      <c r="I351" s="9"/>
      <c r="J351" s="9"/>
      <c r="K351" s="9"/>
    </row>
    <row r="352" spans="1:11" hidden="1" x14ac:dyDescent="0.3">
      <c r="A352" s="9"/>
      <c r="B352" s="9"/>
      <c r="C352" s="9"/>
      <c r="D352" s="9"/>
      <c r="E352" s="9"/>
      <c r="F352" s="9"/>
      <c r="G352" s="9"/>
      <c r="H352" s="9"/>
      <c r="I352" s="9"/>
      <c r="J352" s="9"/>
      <c r="K352" s="9"/>
    </row>
    <row r="353" spans="1:11" hidden="1" x14ac:dyDescent="0.3">
      <c r="A353" s="9"/>
      <c r="B353" s="9"/>
      <c r="C353" s="9"/>
      <c r="D353" s="9"/>
      <c r="E353" s="9"/>
      <c r="F353" s="9"/>
      <c r="G353" s="9"/>
      <c r="H353" s="9"/>
      <c r="I353" s="9"/>
      <c r="J353" s="9"/>
      <c r="K353" s="9"/>
    </row>
    <row r="354" spans="1:11" hidden="1" x14ac:dyDescent="0.3">
      <c r="A354" s="9"/>
      <c r="B354" s="9"/>
      <c r="C354" s="9"/>
      <c r="D354" s="9"/>
      <c r="E354" s="9"/>
      <c r="F354" s="9"/>
      <c r="G354" s="9"/>
      <c r="H354" s="9"/>
      <c r="I354" s="9"/>
      <c r="J354" s="9"/>
      <c r="K354" s="9"/>
    </row>
    <row r="355" spans="1:11" hidden="1" x14ac:dyDescent="0.3">
      <c r="A355" s="9"/>
      <c r="B355" s="9"/>
      <c r="C355" s="9"/>
      <c r="D355" s="9"/>
      <c r="E355" s="9"/>
      <c r="F355" s="9"/>
      <c r="G355" s="9"/>
      <c r="H355" s="9"/>
      <c r="I355" s="9"/>
      <c r="J355" s="9"/>
      <c r="K355" s="9"/>
    </row>
    <row r="356" spans="1:11" hidden="1" x14ac:dyDescent="0.3">
      <c r="A356" s="9"/>
      <c r="B356" s="9"/>
      <c r="C356" s="9"/>
      <c r="D356" s="9"/>
      <c r="E356" s="9"/>
      <c r="F356" s="9"/>
      <c r="G356" s="9"/>
      <c r="H356" s="9"/>
      <c r="I356" s="9"/>
      <c r="J356" s="9"/>
      <c r="K356" s="9"/>
    </row>
    <row r="357" spans="1:11" hidden="1" x14ac:dyDescent="0.3">
      <c r="A357" s="9"/>
      <c r="B357" s="9"/>
      <c r="C357" s="9"/>
      <c r="D357" s="9"/>
      <c r="E357" s="9"/>
      <c r="F357" s="9"/>
      <c r="G357" s="9"/>
      <c r="H357" s="9"/>
      <c r="I357" s="9"/>
      <c r="J357" s="9"/>
      <c r="K357" s="9"/>
    </row>
    <row r="358" spans="1:11" hidden="1" x14ac:dyDescent="0.3">
      <c r="A358" s="9"/>
      <c r="B358" s="9"/>
      <c r="C358" s="9"/>
      <c r="D358" s="9"/>
      <c r="E358" s="9"/>
      <c r="F358" s="9"/>
      <c r="G358" s="9"/>
      <c r="H358" s="9"/>
      <c r="I358" s="9"/>
      <c r="J358" s="9"/>
      <c r="K358" s="9"/>
    </row>
    <row r="359" spans="1:11" hidden="1" x14ac:dyDescent="0.3">
      <c r="A359" s="9"/>
      <c r="B359" s="9"/>
      <c r="C359" s="9"/>
      <c r="D359" s="9"/>
      <c r="E359" s="9"/>
      <c r="F359" s="9"/>
      <c r="G359" s="9"/>
      <c r="H359" s="9"/>
      <c r="I359" s="9"/>
      <c r="J359" s="9"/>
      <c r="K359" s="9"/>
    </row>
    <row r="360" spans="1:11" hidden="1" x14ac:dyDescent="0.3">
      <c r="A360" s="9"/>
      <c r="B360" s="9"/>
      <c r="C360" s="9"/>
      <c r="D360" s="9"/>
      <c r="E360" s="9"/>
      <c r="F360" s="9"/>
      <c r="G360" s="9"/>
      <c r="H360" s="9"/>
      <c r="I360" s="9"/>
      <c r="J360" s="9"/>
      <c r="K360" s="9"/>
    </row>
    <row r="361" spans="1:11" hidden="1" x14ac:dyDescent="0.3">
      <c r="A361" s="9"/>
      <c r="B361" s="9"/>
      <c r="C361" s="9"/>
      <c r="D361" s="9"/>
      <c r="E361" s="9"/>
      <c r="F361" s="9"/>
      <c r="G361" s="9"/>
      <c r="H361" s="9"/>
      <c r="I361" s="9"/>
      <c r="J361" s="9"/>
      <c r="K361" s="9"/>
    </row>
    <row r="362" spans="1:11" hidden="1" x14ac:dyDescent="0.3">
      <c r="A362" s="9"/>
      <c r="B362" s="9"/>
      <c r="C362" s="9"/>
      <c r="D362" s="9"/>
      <c r="E362" s="9"/>
      <c r="F362" s="9"/>
      <c r="G362" s="9"/>
      <c r="H362" s="9"/>
      <c r="I362" s="9"/>
      <c r="J362" s="9"/>
      <c r="K362" s="9"/>
    </row>
    <row r="363" spans="1:11" hidden="1" x14ac:dyDescent="0.3">
      <c r="A363" s="9"/>
      <c r="B363" s="9"/>
      <c r="C363" s="9"/>
      <c r="D363" s="9"/>
      <c r="E363" s="9"/>
      <c r="F363" s="9"/>
      <c r="G363" s="9"/>
      <c r="H363" s="9"/>
      <c r="I363" s="9"/>
      <c r="J363" s="9"/>
      <c r="K363" s="9"/>
    </row>
    <row r="364" spans="1:11" hidden="1" x14ac:dyDescent="0.3">
      <c r="A364" s="9"/>
      <c r="B364" s="9"/>
      <c r="C364" s="9"/>
      <c r="D364" s="9"/>
      <c r="E364" s="9"/>
      <c r="F364" s="9"/>
      <c r="G364" s="9"/>
      <c r="H364" s="9"/>
      <c r="I364" s="9"/>
      <c r="J364" s="9"/>
      <c r="K364" s="9"/>
    </row>
    <row r="365" spans="1:11" hidden="1" x14ac:dyDescent="0.3">
      <c r="A365" s="9"/>
      <c r="B365" s="9"/>
      <c r="C365" s="9"/>
      <c r="D365" s="9"/>
      <c r="E365" s="9"/>
      <c r="F365" s="9"/>
      <c r="G365" s="9"/>
      <c r="H365" s="9"/>
      <c r="I365" s="9"/>
      <c r="J365" s="9"/>
      <c r="K365" s="9"/>
    </row>
    <row r="366" spans="1:11" hidden="1" x14ac:dyDescent="0.3">
      <c r="A366" s="9"/>
      <c r="B366" s="9"/>
      <c r="C366" s="9"/>
      <c r="D366" s="9"/>
      <c r="E366" s="9"/>
      <c r="F366" s="9"/>
      <c r="G366" s="9"/>
      <c r="H366" s="9"/>
      <c r="I366" s="9"/>
      <c r="J366" s="9"/>
      <c r="K366" s="9"/>
    </row>
    <row r="367" spans="1:11" hidden="1" x14ac:dyDescent="0.3">
      <c r="A367" s="9"/>
      <c r="B367" s="9"/>
      <c r="C367" s="9"/>
      <c r="D367" s="9"/>
      <c r="E367" s="9"/>
      <c r="F367" s="9"/>
      <c r="G367" s="9"/>
      <c r="H367" s="9"/>
      <c r="I367" s="9"/>
      <c r="J367" s="9"/>
      <c r="K367" s="9"/>
    </row>
    <row r="368" spans="1:11" hidden="1" x14ac:dyDescent="0.3">
      <c r="A368" s="9"/>
      <c r="B368" s="9"/>
      <c r="C368" s="9"/>
      <c r="D368" s="9"/>
      <c r="E368" s="9"/>
      <c r="F368" s="9"/>
      <c r="G368" s="9"/>
      <c r="H368" s="9"/>
      <c r="I368" s="9"/>
      <c r="J368" s="9"/>
      <c r="K368" s="9"/>
    </row>
    <row r="369" spans="1:11" hidden="1" x14ac:dyDescent="0.3">
      <c r="A369" s="9"/>
      <c r="B369" s="9"/>
      <c r="C369" s="9"/>
      <c r="D369" s="9"/>
      <c r="E369" s="9"/>
      <c r="F369" s="9"/>
      <c r="G369" s="9"/>
      <c r="H369" s="9"/>
      <c r="I369" s="9"/>
      <c r="J369" s="9"/>
      <c r="K369" s="9"/>
    </row>
    <row r="370" spans="1:11" hidden="1" x14ac:dyDescent="0.3">
      <c r="A370" s="9"/>
      <c r="B370" s="9"/>
      <c r="C370" s="9"/>
      <c r="D370" s="9"/>
      <c r="E370" s="9"/>
      <c r="F370" s="9"/>
      <c r="G370" s="9"/>
      <c r="H370" s="9"/>
      <c r="I370" s="9"/>
      <c r="J370" s="9"/>
      <c r="K370" s="9"/>
    </row>
    <row r="371" spans="1:11" hidden="1" x14ac:dyDescent="0.3">
      <c r="A371" s="9"/>
      <c r="B371" s="9"/>
      <c r="C371" s="9"/>
      <c r="D371" s="9"/>
      <c r="E371" s="9"/>
      <c r="F371" s="9"/>
      <c r="G371" s="9"/>
      <c r="H371" s="9"/>
      <c r="I371" s="9"/>
      <c r="J371" s="9"/>
      <c r="K371" s="9"/>
    </row>
    <row r="372" spans="1:11" hidden="1" x14ac:dyDescent="0.3">
      <c r="A372" s="9"/>
      <c r="B372" s="9"/>
      <c r="C372" s="9"/>
      <c r="D372" s="9"/>
      <c r="E372" s="9"/>
      <c r="F372" s="9"/>
      <c r="G372" s="9"/>
      <c r="H372" s="9"/>
      <c r="I372" s="9"/>
      <c r="J372" s="9"/>
      <c r="K372" s="9"/>
    </row>
    <row r="373" spans="1:11" hidden="1" x14ac:dyDescent="0.3">
      <c r="A373" s="9"/>
      <c r="B373" s="9"/>
      <c r="C373" s="9"/>
      <c r="D373" s="9"/>
      <c r="E373" s="9"/>
      <c r="F373" s="9"/>
      <c r="G373" s="9"/>
      <c r="H373" s="9"/>
      <c r="I373" s="9"/>
      <c r="J373" s="9"/>
      <c r="K373" s="9"/>
    </row>
    <row r="374" spans="1:11" hidden="1" x14ac:dyDescent="0.3">
      <c r="A374" s="9"/>
      <c r="B374" s="9"/>
      <c r="C374" s="9"/>
      <c r="D374" s="9"/>
      <c r="E374" s="9"/>
      <c r="F374" s="9"/>
      <c r="G374" s="9"/>
      <c r="H374" s="9"/>
      <c r="I374" s="9"/>
      <c r="J374" s="9"/>
      <c r="K374" s="9"/>
    </row>
    <row r="375" spans="1:11" hidden="1" x14ac:dyDescent="0.3">
      <c r="A375" s="9"/>
      <c r="B375" s="9"/>
      <c r="C375" s="9"/>
      <c r="D375" s="9"/>
      <c r="E375" s="9"/>
      <c r="F375" s="9"/>
      <c r="G375" s="9"/>
      <c r="H375" s="9"/>
      <c r="I375" s="9"/>
      <c r="J375" s="9"/>
      <c r="K375" s="9"/>
    </row>
    <row r="376" spans="1:11" hidden="1" x14ac:dyDescent="0.3">
      <c r="A376" s="9"/>
      <c r="B376" s="9"/>
      <c r="C376" s="9"/>
      <c r="D376" s="9"/>
      <c r="E376" s="9"/>
      <c r="F376" s="9"/>
      <c r="G376" s="9"/>
      <c r="H376" s="9"/>
      <c r="I376" s="9"/>
      <c r="J376" s="9"/>
      <c r="K376" s="9"/>
    </row>
    <row r="377" spans="1:11" hidden="1" x14ac:dyDescent="0.3">
      <c r="A377" s="9"/>
      <c r="B377" s="9"/>
      <c r="C377" s="9"/>
      <c r="D377" s="9"/>
      <c r="E377" s="9"/>
      <c r="F377" s="9"/>
      <c r="G377" s="9"/>
      <c r="H377" s="9"/>
      <c r="I377" s="9"/>
      <c r="J377" s="9"/>
      <c r="K377" s="9"/>
    </row>
    <row r="378" spans="1:11" hidden="1" x14ac:dyDescent="0.3">
      <c r="A378" s="9"/>
      <c r="B378" s="9"/>
      <c r="C378" s="9"/>
      <c r="D378" s="9"/>
      <c r="E378" s="9"/>
      <c r="F378" s="9"/>
      <c r="G378" s="9"/>
      <c r="H378" s="9"/>
      <c r="I378" s="9"/>
      <c r="J378" s="9"/>
      <c r="K378" s="9"/>
    </row>
    <row r="379" spans="1:11" hidden="1" x14ac:dyDescent="0.3">
      <c r="A379" s="9"/>
      <c r="B379" s="9"/>
      <c r="C379" s="9"/>
      <c r="D379" s="9"/>
      <c r="E379" s="9"/>
      <c r="F379" s="9"/>
      <c r="G379" s="9"/>
      <c r="H379" s="9"/>
      <c r="I379" s="9"/>
      <c r="J379" s="9"/>
      <c r="K379" s="9"/>
    </row>
    <row r="380" spans="1:11" hidden="1" x14ac:dyDescent="0.3">
      <c r="A380" s="9"/>
      <c r="B380" s="9"/>
      <c r="C380" s="9"/>
      <c r="D380" s="9"/>
      <c r="E380" s="9"/>
      <c r="F380" s="9"/>
      <c r="G380" s="9"/>
      <c r="H380" s="9"/>
      <c r="I380" s="9"/>
      <c r="J380" s="9"/>
      <c r="K380" s="9"/>
    </row>
    <row r="381" spans="1:11" hidden="1" x14ac:dyDescent="0.3">
      <c r="A381" s="9"/>
      <c r="B381" s="9"/>
      <c r="C381" s="9"/>
      <c r="D381" s="9"/>
      <c r="E381" s="9"/>
      <c r="F381" s="9"/>
      <c r="G381" s="9"/>
      <c r="H381" s="9"/>
      <c r="I381" s="9"/>
      <c r="J381" s="9"/>
      <c r="K381" s="9"/>
    </row>
    <row r="382" spans="1:11" hidden="1" x14ac:dyDescent="0.3">
      <c r="A382" s="9"/>
      <c r="B382" s="9"/>
      <c r="C382" s="9"/>
      <c r="D382" s="9"/>
      <c r="E382" s="9"/>
      <c r="F382" s="9"/>
      <c r="G382" s="9"/>
      <c r="H382" s="9"/>
      <c r="I382" s="9"/>
      <c r="J382" s="9"/>
      <c r="K382" s="9"/>
    </row>
    <row r="383" spans="1:11" hidden="1" x14ac:dyDescent="0.3">
      <c r="A383" s="9"/>
      <c r="B383" s="9"/>
      <c r="C383" s="9"/>
      <c r="D383" s="9"/>
      <c r="E383" s="9"/>
      <c r="F383" s="9"/>
      <c r="G383" s="9"/>
      <c r="H383" s="9"/>
      <c r="I383" s="9"/>
      <c r="J383" s="9"/>
      <c r="K383" s="9"/>
    </row>
    <row r="384" spans="1:11" hidden="1" x14ac:dyDescent="0.3">
      <c r="A384" s="9"/>
      <c r="B384" s="9"/>
      <c r="C384" s="9"/>
      <c r="D384" s="9"/>
      <c r="E384" s="9"/>
      <c r="F384" s="9"/>
      <c r="G384" s="9"/>
      <c r="H384" s="9"/>
      <c r="I384" s="9"/>
      <c r="J384" s="9"/>
      <c r="K384" s="9"/>
    </row>
    <row r="385" spans="1:11" hidden="1" x14ac:dyDescent="0.3">
      <c r="A385" s="9"/>
      <c r="B385" s="9"/>
      <c r="C385" s="9"/>
      <c r="D385" s="9"/>
      <c r="E385" s="9"/>
      <c r="F385" s="9"/>
      <c r="G385" s="9"/>
      <c r="H385" s="9"/>
      <c r="I385" s="9"/>
      <c r="J385" s="9"/>
      <c r="K385" s="9"/>
    </row>
    <row r="386" spans="1:11" hidden="1" x14ac:dyDescent="0.3">
      <c r="A386" s="9"/>
      <c r="B386" s="9"/>
      <c r="C386" s="9"/>
      <c r="D386" s="9"/>
      <c r="E386" s="9"/>
      <c r="F386" s="9"/>
      <c r="G386" s="9"/>
      <c r="H386" s="9"/>
      <c r="I386" s="9"/>
      <c r="J386" s="9"/>
      <c r="K386" s="9"/>
    </row>
    <row r="387" spans="1:11" hidden="1" x14ac:dyDescent="0.3">
      <c r="A387" s="9"/>
      <c r="B387" s="9"/>
      <c r="C387" s="9"/>
      <c r="D387" s="9"/>
      <c r="E387" s="9"/>
      <c r="F387" s="9"/>
      <c r="G387" s="9"/>
      <c r="H387" s="9"/>
      <c r="I387" s="9"/>
      <c r="J387" s="9"/>
      <c r="K387" s="9"/>
    </row>
    <row r="388" spans="1:11" hidden="1" x14ac:dyDescent="0.3">
      <c r="A388" s="9"/>
      <c r="B388" s="9"/>
      <c r="C388" s="9"/>
      <c r="D388" s="9"/>
      <c r="E388" s="9"/>
      <c r="F388" s="9"/>
      <c r="G388" s="9"/>
      <c r="H388" s="9"/>
      <c r="I388" s="9"/>
      <c r="J388" s="9"/>
      <c r="K388" s="9"/>
    </row>
    <row r="389" spans="1:11" hidden="1" x14ac:dyDescent="0.3">
      <c r="A389" s="9"/>
      <c r="B389" s="9"/>
      <c r="C389" s="9"/>
      <c r="D389" s="9"/>
      <c r="E389" s="9"/>
      <c r="F389" s="9"/>
      <c r="G389" s="9"/>
      <c r="H389" s="9"/>
      <c r="I389" s="9"/>
      <c r="J389" s="9"/>
      <c r="K389" s="9"/>
    </row>
    <row r="390" spans="1:11" hidden="1" x14ac:dyDescent="0.3">
      <c r="A390" s="9"/>
      <c r="B390" s="9"/>
      <c r="C390" s="9"/>
      <c r="D390" s="9"/>
      <c r="E390" s="9"/>
      <c r="F390" s="9"/>
      <c r="G390" s="9"/>
      <c r="H390" s="9"/>
      <c r="I390" s="9"/>
      <c r="J390" s="9"/>
      <c r="K390" s="9"/>
    </row>
    <row r="391" spans="1:11" hidden="1" x14ac:dyDescent="0.3">
      <c r="A391" s="9"/>
      <c r="B391" s="9"/>
      <c r="C391" s="9"/>
      <c r="D391" s="9"/>
      <c r="E391" s="9"/>
      <c r="F391" s="9"/>
      <c r="G391" s="9"/>
      <c r="H391" s="9"/>
      <c r="I391" s="9"/>
      <c r="J391" s="9"/>
      <c r="K391" s="9"/>
    </row>
    <row r="392" spans="1:11" hidden="1" x14ac:dyDescent="0.3">
      <c r="A392" s="9"/>
      <c r="B392" s="9"/>
      <c r="C392" s="9"/>
      <c r="D392" s="9"/>
      <c r="E392" s="9"/>
      <c r="F392" s="9"/>
      <c r="G392" s="9"/>
      <c r="H392" s="9"/>
      <c r="I392" s="9"/>
      <c r="J392" s="9"/>
      <c r="K392" s="9"/>
    </row>
    <row r="393" spans="1:11" hidden="1" x14ac:dyDescent="0.3">
      <c r="A393" s="9"/>
      <c r="B393" s="9"/>
      <c r="C393" s="9"/>
      <c r="D393" s="9"/>
      <c r="E393" s="9"/>
      <c r="F393" s="9"/>
      <c r="G393" s="9"/>
      <c r="H393" s="9"/>
      <c r="I393" s="9"/>
      <c r="J393" s="9"/>
      <c r="K393" s="9"/>
    </row>
    <row r="394" spans="1:11" hidden="1" x14ac:dyDescent="0.3">
      <c r="A394" s="9"/>
      <c r="B394" s="9"/>
      <c r="C394" s="9"/>
      <c r="D394" s="9"/>
      <c r="E394" s="9"/>
      <c r="F394" s="9"/>
      <c r="G394" s="9"/>
      <c r="H394" s="9"/>
      <c r="I394" s="9"/>
      <c r="J394" s="9"/>
      <c r="K394" s="9"/>
    </row>
    <row r="395" spans="1:11" hidden="1" x14ac:dyDescent="0.3">
      <c r="A395" s="9"/>
      <c r="B395" s="9"/>
      <c r="C395" s="9"/>
      <c r="D395" s="9"/>
      <c r="E395" s="9"/>
      <c r="F395" s="9"/>
      <c r="G395" s="9"/>
      <c r="H395" s="9"/>
      <c r="I395" s="9"/>
      <c r="J395" s="9"/>
      <c r="K395" s="9"/>
    </row>
    <row r="396" spans="1:11" hidden="1" x14ac:dyDescent="0.3">
      <c r="A396" s="9"/>
      <c r="B396" s="9"/>
      <c r="C396" s="9"/>
      <c r="D396" s="9"/>
      <c r="E396" s="9"/>
      <c r="F396" s="9"/>
      <c r="G396" s="9"/>
      <c r="H396" s="9"/>
      <c r="I396" s="9"/>
      <c r="J396" s="9"/>
      <c r="K396" s="9"/>
    </row>
    <row r="397" spans="1:11" hidden="1" x14ac:dyDescent="0.3">
      <c r="A397" s="9"/>
      <c r="B397" s="9"/>
      <c r="C397" s="9"/>
      <c r="D397" s="9"/>
      <c r="E397" s="9"/>
      <c r="F397" s="9"/>
      <c r="G397" s="9"/>
      <c r="H397" s="9"/>
      <c r="I397" s="9"/>
      <c r="J397" s="9"/>
      <c r="K397" s="9"/>
    </row>
    <row r="398" spans="1:11" hidden="1" x14ac:dyDescent="0.3">
      <c r="A398" s="9"/>
      <c r="B398" s="9"/>
      <c r="C398" s="9"/>
      <c r="D398" s="9"/>
      <c r="E398" s="9"/>
      <c r="F398" s="9"/>
      <c r="G398" s="9"/>
      <c r="H398" s="9"/>
      <c r="I398" s="9"/>
      <c r="J398" s="9"/>
      <c r="K398" s="9"/>
    </row>
    <row r="399" spans="1:11" hidden="1" x14ac:dyDescent="0.3">
      <c r="A399" s="9"/>
      <c r="B399" s="9"/>
      <c r="C399" s="9"/>
      <c r="D399" s="9"/>
      <c r="E399" s="9"/>
      <c r="F399" s="9"/>
      <c r="G399" s="9"/>
      <c r="H399" s="9"/>
      <c r="I399" s="9"/>
      <c r="J399" s="9"/>
      <c r="K399" s="9"/>
    </row>
    <row r="400" spans="1:11" hidden="1" x14ac:dyDescent="0.3">
      <c r="A400" s="9"/>
      <c r="B400" s="9"/>
      <c r="C400" s="9"/>
      <c r="D400" s="9"/>
      <c r="E400" s="9"/>
      <c r="F400" s="9"/>
      <c r="G400" s="9"/>
      <c r="H400" s="9"/>
      <c r="I400" s="9"/>
      <c r="J400" s="9"/>
      <c r="K400" s="9"/>
    </row>
    <row r="401" spans="1:11" hidden="1" x14ac:dyDescent="0.3">
      <c r="A401" s="9"/>
      <c r="B401" s="9"/>
      <c r="C401" s="9"/>
      <c r="D401" s="9"/>
      <c r="E401" s="9"/>
      <c r="F401" s="9"/>
      <c r="G401" s="9"/>
      <c r="H401" s="9"/>
      <c r="I401" s="9"/>
      <c r="J401" s="9"/>
      <c r="K401" s="9"/>
    </row>
    <row r="402" spans="1:11" hidden="1" x14ac:dyDescent="0.3">
      <c r="A402" s="9"/>
      <c r="B402" s="9"/>
      <c r="C402" s="9"/>
      <c r="D402" s="9"/>
      <c r="E402" s="9"/>
      <c r="F402" s="9"/>
      <c r="G402" s="9"/>
      <c r="H402" s="9"/>
      <c r="I402" s="9"/>
      <c r="J402" s="9"/>
      <c r="K402" s="9"/>
    </row>
    <row r="403" spans="1:11" hidden="1" x14ac:dyDescent="0.3">
      <c r="A403" s="9"/>
      <c r="B403" s="9"/>
      <c r="C403" s="9"/>
      <c r="D403" s="9"/>
      <c r="E403" s="9"/>
      <c r="F403" s="9"/>
      <c r="G403" s="9"/>
      <c r="H403" s="9"/>
      <c r="I403" s="9"/>
      <c r="J403" s="9"/>
      <c r="K403" s="9"/>
    </row>
    <row r="404" spans="1:11" hidden="1" x14ac:dyDescent="0.3">
      <c r="A404" s="9"/>
      <c r="B404" s="9"/>
      <c r="C404" s="9"/>
      <c r="D404" s="9"/>
      <c r="E404" s="9"/>
      <c r="F404" s="9"/>
      <c r="G404" s="9"/>
      <c r="H404" s="9"/>
      <c r="I404" s="9"/>
      <c r="J404" s="9"/>
      <c r="K404" s="9"/>
    </row>
    <row r="405" spans="1:11" hidden="1" x14ac:dyDescent="0.3">
      <c r="A405" s="9"/>
      <c r="B405" s="9"/>
      <c r="C405" s="9"/>
      <c r="D405" s="9"/>
      <c r="E405" s="9"/>
      <c r="F405" s="9"/>
      <c r="G405" s="9"/>
      <c r="H405" s="9"/>
      <c r="I405" s="9"/>
      <c r="J405" s="9"/>
      <c r="K405" s="9"/>
    </row>
    <row r="406" spans="1:11" hidden="1" x14ac:dyDescent="0.3">
      <c r="A406" s="9"/>
      <c r="B406" s="9"/>
      <c r="C406" s="9"/>
      <c r="D406" s="9"/>
      <c r="E406" s="9"/>
      <c r="F406" s="9"/>
      <c r="G406" s="9"/>
      <c r="H406" s="9"/>
      <c r="I406" s="9"/>
      <c r="J406" s="9"/>
      <c r="K406" s="9"/>
    </row>
    <row r="407" spans="1:11" hidden="1" x14ac:dyDescent="0.3">
      <c r="A407" s="9"/>
      <c r="B407" s="9"/>
      <c r="C407" s="9"/>
      <c r="D407" s="9"/>
      <c r="E407" s="9"/>
      <c r="F407" s="9"/>
      <c r="G407" s="9"/>
      <c r="H407" s="9"/>
      <c r="I407" s="9"/>
      <c r="J407" s="9"/>
      <c r="K407" s="9"/>
    </row>
    <row r="408" spans="1:11" hidden="1" x14ac:dyDescent="0.3">
      <c r="A408" s="9"/>
      <c r="B408" s="9"/>
      <c r="C408" s="9"/>
      <c r="D408" s="9"/>
      <c r="E408" s="9"/>
      <c r="F408" s="9"/>
      <c r="G408" s="9"/>
      <c r="H408" s="9"/>
      <c r="I408" s="9"/>
      <c r="J408" s="9"/>
      <c r="K408" s="9"/>
    </row>
    <row r="409" spans="1:11" hidden="1" x14ac:dyDescent="0.3">
      <c r="A409" s="9"/>
      <c r="B409" s="9"/>
      <c r="C409" s="9"/>
      <c r="D409" s="9"/>
      <c r="E409" s="9"/>
      <c r="F409" s="9"/>
      <c r="G409" s="9"/>
      <c r="H409" s="9"/>
      <c r="I409" s="9"/>
      <c r="J409" s="9"/>
      <c r="K409" s="9"/>
    </row>
    <row r="410" spans="1:11" hidden="1" x14ac:dyDescent="0.3">
      <c r="A410" s="9"/>
      <c r="B410" s="9"/>
      <c r="C410" s="9"/>
      <c r="D410" s="9"/>
      <c r="E410" s="9"/>
      <c r="F410" s="9"/>
      <c r="G410" s="9"/>
      <c r="H410" s="9"/>
      <c r="I410" s="9"/>
      <c r="J410" s="9"/>
      <c r="K410" s="9"/>
    </row>
    <row r="411" spans="1:11" hidden="1" x14ac:dyDescent="0.3">
      <c r="A411" s="9"/>
      <c r="B411" s="9"/>
      <c r="C411" s="9"/>
      <c r="D411" s="9"/>
      <c r="E411" s="9"/>
      <c r="F411" s="9"/>
      <c r="G411" s="9"/>
      <c r="H411" s="9"/>
      <c r="I411" s="9"/>
      <c r="J411" s="9"/>
      <c r="K411" s="9"/>
    </row>
    <row r="412" spans="1:11" hidden="1" x14ac:dyDescent="0.3">
      <c r="A412" s="9"/>
      <c r="B412" s="9"/>
      <c r="C412" s="9"/>
      <c r="D412" s="9"/>
      <c r="E412" s="9"/>
      <c r="F412" s="9"/>
      <c r="G412" s="9"/>
      <c r="H412" s="9"/>
      <c r="I412" s="9"/>
      <c r="J412" s="9"/>
      <c r="K412" s="9"/>
    </row>
    <row r="413" spans="1:11" hidden="1" x14ac:dyDescent="0.3">
      <c r="A413" s="9"/>
      <c r="B413" s="9"/>
      <c r="C413" s="9"/>
      <c r="D413" s="9"/>
      <c r="E413" s="9"/>
      <c r="F413" s="9"/>
      <c r="G413" s="9"/>
      <c r="H413" s="9"/>
      <c r="I413" s="9"/>
      <c r="J413" s="9"/>
      <c r="K413" s="9"/>
    </row>
    <row r="414" spans="1:11" hidden="1" x14ac:dyDescent="0.3">
      <c r="A414" s="9"/>
      <c r="B414" s="9"/>
      <c r="C414" s="9"/>
      <c r="D414" s="9"/>
      <c r="E414" s="9"/>
      <c r="F414" s="9"/>
      <c r="G414" s="9"/>
      <c r="H414" s="9"/>
      <c r="I414" s="9"/>
      <c r="J414" s="9"/>
      <c r="K414" s="9"/>
    </row>
    <row r="415" spans="1:11" hidden="1" x14ac:dyDescent="0.3">
      <c r="A415" s="9"/>
      <c r="B415" s="9"/>
      <c r="C415" s="9"/>
      <c r="D415" s="9"/>
      <c r="E415" s="9"/>
      <c r="F415" s="9"/>
      <c r="G415" s="9"/>
      <c r="H415" s="9"/>
      <c r="I415" s="9"/>
      <c r="J415" s="9"/>
      <c r="K415" s="9"/>
    </row>
    <row r="416" spans="1:11" hidden="1" x14ac:dyDescent="0.3">
      <c r="A416" s="9"/>
      <c r="B416" s="9"/>
      <c r="C416" s="9"/>
      <c r="D416" s="9"/>
      <c r="E416" s="9"/>
      <c r="F416" s="9"/>
      <c r="G416" s="9"/>
      <c r="H416" s="9"/>
      <c r="I416" s="9"/>
      <c r="J416" s="9"/>
      <c r="K416" s="9"/>
    </row>
    <row r="417" spans="1:11" hidden="1" x14ac:dyDescent="0.3">
      <c r="A417" s="9"/>
      <c r="B417" s="9"/>
      <c r="C417" s="9"/>
      <c r="D417" s="9"/>
      <c r="E417" s="9"/>
      <c r="F417" s="9"/>
      <c r="G417" s="9"/>
      <c r="H417" s="9"/>
      <c r="I417" s="9"/>
      <c r="J417" s="9"/>
      <c r="K417" s="9"/>
    </row>
    <row r="418" spans="1:11" hidden="1" x14ac:dyDescent="0.3">
      <c r="A418" s="9"/>
      <c r="B418" s="9"/>
      <c r="C418" s="9"/>
      <c r="D418" s="9"/>
      <c r="E418" s="9"/>
      <c r="F418" s="9"/>
      <c r="G418" s="9"/>
      <c r="H418" s="9"/>
      <c r="I418" s="9"/>
      <c r="J418" s="9"/>
      <c r="K418" s="9"/>
    </row>
    <row r="419" spans="1:11" hidden="1" x14ac:dyDescent="0.3">
      <c r="A419" s="9"/>
      <c r="B419" s="9"/>
      <c r="C419" s="9"/>
      <c r="D419" s="9"/>
      <c r="E419" s="9"/>
      <c r="F419" s="9"/>
      <c r="G419" s="9"/>
      <c r="H419" s="9"/>
      <c r="I419" s="9"/>
      <c r="J419" s="9"/>
      <c r="K419" s="9"/>
    </row>
    <row r="420" spans="1:11" hidden="1" x14ac:dyDescent="0.3">
      <c r="A420" s="9"/>
      <c r="B420" s="9"/>
      <c r="C420" s="9"/>
      <c r="D420" s="9"/>
      <c r="E420" s="9"/>
      <c r="F420" s="9"/>
      <c r="G420" s="9"/>
      <c r="H420" s="9"/>
      <c r="I420" s="9"/>
      <c r="J420" s="9"/>
      <c r="K420" s="9"/>
    </row>
    <row r="421" spans="1:11" hidden="1" x14ac:dyDescent="0.3">
      <c r="A421" s="9"/>
      <c r="B421" s="9"/>
      <c r="C421" s="9"/>
      <c r="D421" s="9"/>
      <c r="E421" s="9"/>
      <c r="F421" s="9"/>
      <c r="G421" s="9"/>
      <c r="H421" s="9"/>
      <c r="I421" s="9"/>
      <c r="J421" s="9"/>
      <c r="K421" s="9"/>
    </row>
    <row r="422" spans="1:11" hidden="1" x14ac:dyDescent="0.3">
      <c r="A422" s="9"/>
      <c r="B422" s="9"/>
      <c r="C422" s="9"/>
      <c r="D422" s="9"/>
      <c r="E422" s="9"/>
      <c r="F422" s="9"/>
      <c r="G422" s="9"/>
      <c r="H422" s="9"/>
      <c r="I422" s="9"/>
      <c r="J422" s="9"/>
      <c r="K422" s="9"/>
    </row>
    <row r="423" spans="1:11" hidden="1" x14ac:dyDescent="0.3">
      <c r="A423" s="9"/>
      <c r="B423" s="9"/>
      <c r="C423" s="9"/>
      <c r="D423" s="9"/>
      <c r="E423" s="9"/>
      <c r="F423" s="9"/>
      <c r="G423" s="9"/>
      <c r="H423" s="9"/>
      <c r="I423" s="9"/>
      <c r="J423" s="9"/>
      <c r="K423" s="9"/>
    </row>
    <row r="424" spans="1:11" hidden="1" x14ac:dyDescent="0.3">
      <c r="A424" s="9"/>
      <c r="B424" s="9"/>
      <c r="C424" s="9"/>
      <c r="D424" s="9"/>
      <c r="E424" s="9"/>
      <c r="F424" s="9"/>
      <c r="G424" s="9"/>
      <c r="H424" s="9"/>
      <c r="I424" s="9"/>
      <c r="J424" s="9"/>
      <c r="K424" s="9"/>
    </row>
    <row r="425" spans="1:11" hidden="1" x14ac:dyDescent="0.3">
      <c r="A425" s="9"/>
      <c r="B425" s="9"/>
      <c r="C425" s="9"/>
      <c r="D425" s="9"/>
      <c r="E425" s="9"/>
      <c r="F425" s="9"/>
      <c r="G425" s="9"/>
      <c r="H425" s="9"/>
      <c r="I425" s="9"/>
      <c r="J425" s="9"/>
      <c r="K425" s="9"/>
    </row>
    <row r="426" spans="1:11" hidden="1" x14ac:dyDescent="0.3">
      <c r="A426" s="9"/>
      <c r="B426" s="9"/>
      <c r="C426" s="9"/>
      <c r="D426" s="9"/>
      <c r="E426" s="9"/>
      <c r="F426" s="9"/>
      <c r="G426" s="9"/>
      <c r="H426" s="9"/>
      <c r="I426" s="9"/>
      <c r="J426" s="9"/>
      <c r="K426" s="9"/>
    </row>
    <row r="427" spans="1:11" hidden="1" x14ac:dyDescent="0.3">
      <c r="A427" s="9"/>
      <c r="B427" s="9"/>
      <c r="C427" s="9"/>
      <c r="D427" s="9"/>
      <c r="E427" s="9"/>
      <c r="F427" s="9"/>
      <c r="G427" s="9"/>
      <c r="H427" s="9"/>
      <c r="I427" s="9"/>
      <c r="J427" s="9"/>
      <c r="K427" s="9"/>
    </row>
    <row r="428" spans="1:11" hidden="1" x14ac:dyDescent="0.3">
      <c r="A428" s="9"/>
      <c r="B428" s="9"/>
      <c r="C428" s="9"/>
      <c r="D428" s="9"/>
      <c r="E428" s="9"/>
      <c r="F428" s="9"/>
      <c r="G428" s="9"/>
      <c r="H428" s="9"/>
      <c r="I428" s="9"/>
      <c r="J428" s="9"/>
      <c r="K428" s="9"/>
    </row>
    <row r="429" spans="1:11" hidden="1" x14ac:dyDescent="0.3">
      <c r="A429" s="9"/>
      <c r="B429" s="9"/>
      <c r="C429" s="9"/>
      <c r="D429" s="9"/>
      <c r="E429" s="9"/>
      <c r="F429" s="9"/>
      <c r="G429" s="9"/>
      <c r="H429" s="9"/>
      <c r="I429" s="9"/>
      <c r="J429" s="9"/>
      <c r="K429" s="9"/>
    </row>
    <row r="430" spans="1:11" hidden="1" x14ac:dyDescent="0.3">
      <c r="A430" s="9"/>
      <c r="B430" s="9"/>
      <c r="C430" s="9"/>
      <c r="D430" s="9"/>
      <c r="E430" s="9"/>
      <c r="F430" s="9"/>
      <c r="G430" s="9"/>
      <c r="H430" s="9"/>
      <c r="I430" s="9"/>
      <c r="J430" s="9"/>
      <c r="K430" s="9"/>
    </row>
    <row r="431" spans="1:11" hidden="1" x14ac:dyDescent="0.3">
      <c r="A431" s="9"/>
      <c r="B431" s="9"/>
      <c r="C431" s="9"/>
      <c r="D431" s="9"/>
      <c r="E431" s="9"/>
      <c r="F431" s="9"/>
      <c r="G431" s="9"/>
      <c r="H431" s="9"/>
      <c r="I431" s="9"/>
      <c r="J431" s="9"/>
      <c r="K431" s="9"/>
    </row>
    <row r="432" spans="1:11" hidden="1" x14ac:dyDescent="0.3">
      <c r="A432" s="9"/>
      <c r="B432" s="9"/>
      <c r="C432" s="9"/>
      <c r="D432" s="9"/>
      <c r="E432" s="9"/>
      <c r="F432" s="9"/>
      <c r="G432" s="9"/>
      <c r="H432" s="9"/>
      <c r="I432" s="9"/>
      <c r="J432" s="9"/>
      <c r="K432" s="9"/>
    </row>
    <row r="433" spans="1:11" hidden="1" x14ac:dyDescent="0.3">
      <c r="A433" s="9"/>
      <c r="B433" s="9"/>
      <c r="C433" s="9"/>
      <c r="D433" s="9"/>
      <c r="E433" s="9"/>
      <c r="F433" s="9"/>
      <c r="G433" s="9"/>
      <c r="H433" s="9"/>
      <c r="I433" s="9"/>
      <c r="J433" s="9"/>
      <c r="K433" s="9"/>
    </row>
    <row r="434" spans="1:11" hidden="1" x14ac:dyDescent="0.3">
      <c r="A434" s="9"/>
      <c r="B434" s="9"/>
      <c r="C434" s="9"/>
      <c r="D434" s="9"/>
      <c r="E434" s="9"/>
      <c r="F434" s="9"/>
      <c r="G434" s="9"/>
      <c r="H434" s="9"/>
      <c r="I434" s="9"/>
      <c r="J434" s="9"/>
      <c r="K434" s="9"/>
    </row>
    <row r="435" spans="1:11" hidden="1" x14ac:dyDescent="0.3">
      <c r="A435" s="9"/>
      <c r="B435" s="9"/>
      <c r="C435" s="9"/>
      <c r="D435" s="9"/>
      <c r="E435" s="9"/>
      <c r="F435" s="9"/>
      <c r="G435" s="9"/>
      <c r="H435" s="9"/>
      <c r="I435" s="9"/>
      <c r="J435" s="9"/>
      <c r="K435" s="9"/>
    </row>
    <row r="436" spans="1:11" hidden="1" x14ac:dyDescent="0.3">
      <c r="A436" s="9"/>
      <c r="B436" s="9"/>
      <c r="C436" s="9"/>
      <c r="D436" s="9"/>
      <c r="E436" s="9"/>
      <c r="F436" s="9"/>
      <c r="G436" s="9"/>
      <c r="H436" s="9"/>
      <c r="I436" s="9"/>
      <c r="J436" s="9"/>
      <c r="K436" s="9"/>
    </row>
    <row r="437" spans="1:11" hidden="1" x14ac:dyDescent="0.3">
      <c r="A437" s="9"/>
      <c r="B437" s="9"/>
      <c r="C437" s="9"/>
      <c r="D437" s="9"/>
      <c r="E437" s="9"/>
      <c r="F437" s="9"/>
      <c r="G437" s="9"/>
      <c r="H437" s="9"/>
      <c r="I437" s="9"/>
      <c r="J437" s="9"/>
      <c r="K437" s="9"/>
    </row>
    <row r="438" spans="1:11" hidden="1" x14ac:dyDescent="0.3">
      <c r="A438" s="9"/>
      <c r="B438" s="9"/>
      <c r="C438" s="9"/>
      <c r="D438" s="9"/>
      <c r="E438" s="9"/>
      <c r="F438" s="9"/>
      <c r="G438" s="9"/>
      <c r="H438" s="9"/>
      <c r="I438" s="9"/>
      <c r="J438" s="9"/>
      <c r="K438" s="9"/>
    </row>
    <row r="439" spans="1:11" hidden="1" x14ac:dyDescent="0.3">
      <c r="A439" s="9"/>
      <c r="B439" s="9"/>
      <c r="C439" s="9"/>
      <c r="D439" s="9"/>
      <c r="E439" s="9"/>
      <c r="F439" s="9"/>
      <c r="G439" s="9"/>
      <c r="H439" s="9"/>
      <c r="I439" s="9"/>
      <c r="J439" s="9"/>
      <c r="K439" s="9"/>
    </row>
    <row r="440" spans="1:11" hidden="1" x14ac:dyDescent="0.3">
      <c r="A440" s="9"/>
      <c r="B440" s="9"/>
      <c r="C440" s="9"/>
      <c r="D440" s="9"/>
      <c r="E440" s="9"/>
      <c r="F440" s="9"/>
      <c r="G440" s="9"/>
      <c r="H440" s="9"/>
      <c r="I440" s="9"/>
      <c r="J440" s="9"/>
      <c r="K440" s="9"/>
    </row>
    <row r="441" spans="1:11" hidden="1" x14ac:dyDescent="0.3">
      <c r="A441" s="9"/>
      <c r="B441" s="9"/>
      <c r="C441" s="9"/>
      <c r="D441" s="9"/>
      <c r="E441" s="9"/>
      <c r="F441" s="9"/>
      <c r="G441" s="9"/>
      <c r="H441" s="9"/>
      <c r="I441" s="9"/>
      <c r="J441" s="9"/>
      <c r="K441" s="9"/>
    </row>
    <row r="442" spans="1:11" hidden="1" x14ac:dyDescent="0.3">
      <c r="A442" s="9"/>
      <c r="B442" s="9"/>
      <c r="C442" s="9"/>
      <c r="D442" s="9"/>
      <c r="E442" s="9"/>
      <c r="F442" s="9"/>
      <c r="G442" s="9"/>
      <c r="H442" s="9"/>
      <c r="I442" s="9"/>
      <c r="J442" s="9"/>
      <c r="K442" s="9"/>
    </row>
    <row r="443" spans="1:11" hidden="1" x14ac:dyDescent="0.3">
      <c r="A443" s="9"/>
      <c r="B443" s="9"/>
      <c r="C443" s="9"/>
      <c r="D443" s="9"/>
      <c r="E443" s="9"/>
      <c r="F443" s="9"/>
      <c r="G443" s="9"/>
      <c r="H443" s="9"/>
      <c r="I443" s="9"/>
      <c r="J443" s="9"/>
      <c r="K443" s="9"/>
    </row>
    <row r="444" spans="1:11" hidden="1" x14ac:dyDescent="0.3">
      <c r="A444" s="9"/>
      <c r="B444" s="9"/>
      <c r="C444" s="9"/>
      <c r="D444" s="9"/>
      <c r="E444" s="9"/>
      <c r="F444" s="9"/>
      <c r="G444" s="9"/>
      <c r="H444" s="9"/>
      <c r="I444" s="9"/>
      <c r="J444" s="9"/>
      <c r="K444" s="9"/>
    </row>
    <row r="445" spans="1:11" hidden="1" x14ac:dyDescent="0.3">
      <c r="A445" s="9"/>
      <c r="B445" s="9"/>
      <c r="C445" s="9"/>
      <c r="D445" s="9"/>
      <c r="E445" s="9"/>
      <c r="F445" s="9"/>
      <c r="G445" s="9"/>
      <c r="H445" s="9"/>
      <c r="I445" s="9"/>
      <c r="J445" s="9"/>
      <c r="K445" s="9"/>
    </row>
    <row r="446" spans="1:11" hidden="1" x14ac:dyDescent="0.3">
      <c r="A446" s="9"/>
      <c r="B446" s="9"/>
      <c r="C446" s="9"/>
      <c r="D446" s="9"/>
      <c r="E446" s="9"/>
      <c r="F446" s="9"/>
      <c r="G446" s="9"/>
      <c r="H446" s="9"/>
      <c r="I446" s="9"/>
      <c r="J446" s="9"/>
      <c r="K446" s="9"/>
    </row>
    <row r="447" spans="1:11" hidden="1" x14ac:dyDescent="0.3">
      <c r="A447" s="9"/>
      <c r="B447" s="9"/>
      <c r="C447" s="9"/>
      <c r="D447" s="9"/>
      <c r="E447" s="9"/>
      <c r="F447" s="9"/>
      <c r="G447" s="9"/>
      <c r="H447" s="9"/>
      <c r="I447" s="9"/>
      <c r="J447" s="9"/>
      <c r="K447" s="9"/>
    </row>
    <row r="448" spans="1:11" hidden="1" x14ac:dyDescent="0.3">
      <c r="A448" s="9"/>
      <c r="B448" s="9"/>
      <c r="C448" s="9"/>
      <c r="D448" s="9"/>
      <c r="E448" s="9"/>
      <c r="F448" s="9"/>
      <c r="G448" s="9"/>
      <c r="H448" s="9"/>
      <c r="I448" s="9"/>
      <c r="J448" s="9"/>
      <c r="K448" s="9"/>
    </row>
    <row r="449" spans="1:11" hidden="1" x14ac:dyDescent="0.3">
      <c r="A449" s="9"/>
      <c r="B449" s="9"/>
      <c r="C449" s="9"/>
      <c r="D449" s="9"/>
      <c r="E449" s="9"/>
      <c r="F449" s="9"/>
      <c r="G449" s="9"/>
      <c r="H449" s="9"/>
      <c r="I449" s="9"/>
      <c r="J449" s="9"/>
      <c r="K449" s="9"/>
    </row>
    <row r="450" spans="1:11" hidden="1" x14ac:dyDescent="0.3">
      <c r="A450" s="9"/>
      <c r="B450" s="9"/>
      <c r="C450" s="9"/>
      <c r="D450" s="9"/>
      <c r="E450" s="9"/>
      <c r="F450" s="9"/>
      <c r="G450" s="9"/>
      <c r="H450" s="9"/>
      <c r="I450" s="9"/>
      <c r="J450" s="9"/>
      <c r="K450" s="9"/>
    </row>
    <row r="451" spans="1:11" hidden="1" x14ac:dyDescent="0.3">
      <c r="A451" s="9"/>
      <c r="B451" s="9"/>
      <c r="C451" s="9"/>
      <c r="D451" s="9"/>
      <c r="E451" s="9"/>
      <c r="F451" s="9"/>
      <c r="G451" s="9"/>
      <c r="H451" s="9"/>
      <c r="I451" s="9"/>
      <c r="J451" s="9"/>
      <c r="K451" s="9"/>
    </row>
    <row r="452" spans="1:11" hidden="1" x14ac:dyDescent="0.3">
      <c r="A452" s="9"/>
      <c r="B452" s="9"/>
      <c r="C452" s="9"/>
      <c r="D452" s="9"/>
      <c r="E452" s="9"/>
      <c r="F452" s="9"/>
      <c r="G452" s="9"/>
      <c r="H452" s="9"/>
      <c r="I452" s="9"/>
      <c r="J452" s="9"/>
      <c r="K452" s="9"/>
    </row>
    <row r="453" spans="1:11" hidden="1" x14ac:dyDescent="0.3">
      <c r="A453" s="9"/>
      <c r="B453" s="9"/>
      <c r="C453" s="9"/>
      <c r="D453" s="9"/>
      <c r="E453" s="9"/>
      <c r="F453" s="9"/>
      <c r="G453" s="9"/>
      <c r="H453" s="9"/>
      <c r="I453" s="9"/>
      <c r="J453" s="9"/>
      <c r="K453" s="9"/>
    </row>
    <row r="454" spans="1:11" hidden="1" x14ac:dyDescent="0.3">
      <c r="A454" s="9"/>
      <c r="B454" s="9"/>
      <c r="C454" s="9"/>
      <c r="D454" s="9"/>
      <c r="E454" s="9"/>
      <c r="F454" s="9"/>
      <c r="G454" s="9"/>
      <c r="H454" s="9"/>
      <c r="I454" s="9"/>
      <c r="J454" s="9"/>
      <c r="K454" s="9"/>
    </row>
    <row r="455" spans="1:11" hidden="1" x14ac:dyDescent="0.3">
      <c r="A455" s="9"/>
      <c r="B455" s="9"/>
      <c r="C455" s="9"/>
      <c r="D455" s="9"/>
      <c r="E455" s="9"/>
      <c r="F455" s="9"/>
      <c r="G455" s="9"/>
      <c r="H455" s="9"/>
      <c r="I455" s="9"/>
      <c r="J455" s="9"/>
      <c r="K455" s="9"/>
    </row>
    <row r="456" spans="1:11" hidden="1" x14ac:dyDescent="0.3">
      <c r="A456" s="9"/>
      <c r="B456" s="9"/>
      <c r="C456" s="9"/>
      <c r="D456" s="9"/>
      <c r="E456" s="9"/>
      <c r="F456" s="9"/>
      <c r="G456" s="9"/>
      <c r="H456" s="9"/>
      <c r="I456" s="9"/>
      <c r="J456" s="9"/>
      <c r="K456" s="9"/>
    </row>
    <row r="457" spans="1:11" hidden="1" x14ac:dyDescent="0.3">
      <c r="A457" s="9"/>
      <c r="B457" s="9"/>
      <c r="C457" s="9"/>
      <c r="D457" s="9"/>
      <c r="E457" s="9"/>
      <c r="F457" s="9"/>
      <c r="G457" s="9"/>
      <c r="H457" s="9"/>
      <c r="I457" s="9"/>
      <c r="J457" s="9"/>
      <c r="K457" s="9"/>
    </row>
    <row r="458" spans="1:11" hidden="1" x14ac:dyDescent="0.3">
      <c r="A458" s="9"/>
      <c r="B458" s="9"/>
      <c r="C458" s="9"/>
      <c r="D458" s="9"/>
      <c r="E458" s="9"/>
      <c r="F458" s="9"/>
      <c r="G458" s="9"/>
      <c r="H458" s="9"/>
      <c r="I458" s="9"/>
      <c r="J458" s="9"/>
      <c r="K458" s="9"/>
    </row>
    <row r="459" spans="1:11" hidden="1" x14ac:dyDescent="0.3">
      <c r="A459" s="9"/>
      <c r="B459" s="9"/>
      <c r="C459" s="9"/>
      <c r="D459" s="9"/>
      <c r="E459" s="9"/>
      <c r="F459" s="9"/>
      <c r="G459" s="9"/>
      <c r="H459" s="9"/>
      <c r="I459" s="9"/>
      <c r="J459" s="9"/>
      <c r="K459" s="9"/>
    </row>
    <row r="460" spans="1:11" hidden="1" x14ac:dyDescent="0.3">
      <c r="A460" s="9"/>
      <c r="B460" s="9"/>
      <c r="C460" s="9"/>
      <c r="D460" s="9"/>
      <c r="E460" s="9"/>
      <c r="F460" s="9"/>
      <c r="G460" s="9"/>
      <c r="H460" s="9"/>
      <c r="I460" s="9"/>
      <c r="J460" s="9"/>
      <c r="K460" s="9"/>
    </row>
    <row r="461" spans="1:11" hidden="1" x14ac:dyDescent="0.3">
      <c r="A461" s="9"/>
      <c r="B461" s="9"/>
      <c r="C461" s="9"/>
      <c r="D461" s="9"/>
      <c r="E461" s="9"/>
      <c r="F461" s="9"/>
      <c r="G461" s="9"/>
      <c r="H461" s="9"/>
      <c r="I461" s="9"/>
      <c r="J461" s="9"/>
      <c r="K461" s="9"/>
    </row>
    <row r="462" spans="1:11" hidden="1" x14ac:dyDescent="0.3">
      <c r="A462" s="9"/>
      <c r="B462" s="9"/>
      <c r="C462" s="9"/>
      <c r="D462" s="9"/>
      <c r="E462" s="9"/>
      <c r="F462" s="9"/>
      <c r="G462" s="9"/>
      <c r="H462" s="9"/>
      <c r="I462" s="9"/>
      <c r="J462" s="9"/>
      <c r="K462" s="9"/>
    </row>
    <row r="463" spans="1:11" hidden="1" x14ac:dyDescent="0.3">
      <c r="A463" s="9"/>
      <c r="B463" s="9"/>
      <c r="C463" s="9"/>
      <c r="D463" s="9"/>
      <c r="E463" s="9"/>
      <c r="F463" s="9"/>
      <c r="G463" s="9"/>
      <c r="H463" s="9"/>
      <c r="I463" s="9"/>
      <c r="J463" s="9"/>
      <c r="K463" s="9"/>
    </row>
    <row r="464" spans="1:11" hidden="1" x14ac:dyDescent="0.3">
      <c r="A464" s="9"/>
      <c r="B464" s="9"/>
      <c r="C464" s="9"/>
      <c r="D464" s="9"/>
      <c r="E464" s="9"/>
      <c r="F464" s="9"/>
      <c r="G464" s="9"/>
      <c r="H464" s="9"/>
      <c r="I464" s="9"/>
      <c r="J464" s="9"/>
      <c r="K464" s="9"/>
    </row>
    <row r="465" spans="1:11" hidden="1" x14ac:dyDescent="0.3">
      <c r="A465" s="9"/>
      <c r="B465" s="9"/>
      <c r="C465" s="9"/>
      <c r="D465" s="9"/>
      <c r="E465" s="9"/>
      <c r="F465" s="9"/>
      <c r="G465" s="9"/>
      <c r="H465" s="9"/>
      <c r="I465" s="9"/>
      <c r="J465" s="9"/>
      <c r="K465" s="9"/>
    </row>
    <row r="466" spans="1:11" hidden="1" x14ac:dyDescent="0.3">
      <c r="A466" s="9"/>
      <c r="B466" s="9"/>
      <c r="C466" s="9"/>
      <c r="D466" s="9"/>
      <c r="E466" s="9"/>
      <c r="F466" s="9"/>
      <c r="G466" s="9"/>
      <c r="H466" s="9"/>
      <c r="I466" s="9"/>
      <c r="J466" s="9"/>
      <c r="K466" s="9"/>
    </row>
    <row r="467" spans="1:11" hidden="1" x14ac:dyDescent="0.3">
      <c r="A467" s="9"/>
      <c r="B467" s="9"/>
      <c r="C467" s="9"/>
      <c r="D467" s="9"/>
      <c r="E467" s="9"/>
      <c r="F467" s="9"/>
      <c r="G467" s="9"/>
      <c r="H467" s="9"/>
      <c r="I467" s="9"/>
      <c r="J467" s="9"/>
      <c r="K467" s="9"/>
    </row>
    <row r="468" spans="1:11" hidden="1" x14ac:dyDescent="0.3">
      <c r="A468" s="9"/>
      <c r="B468" s="9"/>
      <c r="C468" s="9"/>
      <c r="D468" s="9"/>
      <c r="E468" s="9"/>
      <c r="F468" s="9"/>
      <c r="G468" s="9"/>
      <c r="H468" s="9"/>
      <c r="I468" s="9"/>
      <c r="J468" s="9"/>
      <c r="K468" s="9"/>
    </row>
    <row r="469" spans="1:11" hidden="1" x14ac:dyDescent="0.3">
      <c r="A469" s="9"/>
      <c r="B469" s="9"/>
      <c r="C469" s="9"/>
      <c r="D469" s="9"/>
      <c r="E469" s="9"/>
      <c r="F469" s="9"/>
      <c r="G469" s="9"/>
      <c r="H469" s="9"/>
      <c r="I469" s="9"/>
      <c r="J469" s="9"/>
      <c r="K469" s="9"/>
    </row>
    <row r="470" spans="1:11" hidden="1" x14ac:dyDescent="0.3">
      <c r="A470" s="9"/>
      <c r="B470" s="9"/>
      <c r="C470" s="9"/>
      <c r="D470" s="9"/>
      <c r="E470" s="9"/>
      <c r="F470" s="9"/>
      <c r="G470" s="9"/>
      <c r="H470" s="9"/>
      <c r="I470" s="9"/>
      <c r="J470" s="9"/>
      <c r="K470" s="9"/>
    </row>
    <row r="471" spans="1:11" hidden="1" x14ac:dyDescent="0.3">
      <c r="A471" s="9"/>
      <c r="B471" s="9"/>
      <c r="C471" s="9"/>
      <c r="D471" s="9"/>
      <c r="E471" s="9"/>
      <c r="F471" s="9"/>
      <c r="G471" s="9"/>
      <c r="H471" s="9"/>
      <c r="I471" s="9"/>
      <c r="J471" s="9"/>
      <c r="K471" s="9"/>
    </row>
    <row r="472" spans="1:11" hidden="1" x14ac:dyDescent="0.3">
      <c r="A472" s="9"/>
      <c r="B472" s="9"/>
      <c r="C472" s="9"/>
      <c r="D472" s="9"/>
      <c r="E472" s="9"/>
      <c r="F472" s="9"/>
      <c r="G472" s="9"/>
      <c r="H472" s="9"/>
      <c r="I472" s="9"/>
      <c r="J472" s="9"/>
      <c r="K472" s="9"/>
    </row>
    <row r="473" spans="1:11" hidden="1" x14ac:dyDescent="0.3">
      <c r="A473" s="9"/>
      <c r="B473" s="9"/>
      <c r="C473" s="9"/>
      <c r="D473" s="9"/>
      <c r="E473" s="9"/>
      <c r="F473" s="9"/>
      <c r="G473" s="9"/>
      <c r="H473" s="9"/>
      <c r="I473" s="9"/>
      <c r="J473" s="9"/>
      <c r="K473" s="9"/>
    </row>
    <row r="474" spans="1:11" hidden="1" x14ac:dyDescent="0.3">
      <c r="A474" s="9"/>
      <c r="B474" s="9"/>
      <c r="C474" s="9"/>
      <c r="D474" s="9"/>
      <c r="E474" s="9"/>
      <c r="F474" s="9"/>
      <c r="G474" s="9"/>
      <c r="H474" s="9"/>
      <c r="I474" s="9"/>
      <c r="J474" s="9"/>
      <c r="K474" s="9"/>
    </row>
    <row r="475" spans="1:11" hidden="1" x14ac:dyDescent="0.3">
      <c r="A475" s="9"/>
      <c r="B475" s="9"/>
      <c r="C475" s="9"/>
      <c r="D475" s="9"/>
      <c r="E475" s="9"/>
      <c r="F475" s="9"/>
      <c r="G475" s="9"/>
      <c r="H475" s="9"/>
      <c r="I475" s="9"/>
      <c r="J475" s="9"/>
      <c r="K475" s="9"/>
    </row>
    <row r="476" spans="1:11" hidden="1" x14ac:dyDescent="0.3">
      <c r="A476" s="9"/>
      <c r="B476" s="9"/>
      <c r="C476" s="9"/>
      <c r="D476" s="9"/>
      <c r="E476" s="9"/>
      <c r="F476" s="9"/>
      <c r="G476" s="9"/>
      <c r="H476" s="9"/>
      <c r="I476" s="9"/>
      <c r="J476" s="9"/>
      <c r="K476" s="9"/>
    </row>
    <row r="477" spans="1:11" hidden="1" x14ac:dyDescent="0.3">
      <c r="A477" s="9"/>
      <c r="B477" s="9"/>
      <c r="C477" s="9"/>
      <c r="D477" s="9"/>
      <c r="E477" s="9"/>
      <c r="F477" s="9"/>
      <c r="G477" s="9"/>
      <c r="H477" s="9"/>
      <c r="I477" s="9"/>
      <c r="J477" s="9"/>
      <c r="K477" s="9"/>
    </row>
    <row r="478" spans="1:11" hidden="1" x14ac:dyDescent="0.3">
      <c r="A478" s="9"/>
      <c r="B478" s="9"/>
      <c r="C478" s="9"/>
      <c r="D478" s="9"/>
      <c r="E478" s="9"/>
      <c r="F478" s="9"/>
      <c r="G478" s="9"/>
      <c r="H478" s="9"/>
      <c r="I478" s="9"/>
      <c r="J478" s="9"/>
      <c r="K478" s="9"/>
    </row>
    <row r="479" spans="1:11" hidden="1" x14ac:dyDescent="0.3">
      <c r="A479" s="9"/>
      <c r="B479" s="9"/>
      <c r="C479" s="9"/>
      <c r="D479" s="9"/>
      <c r="E479" s="9"/>
      <c r="F479" s="9"/>
      <c r="G479" s="9"/>
      <c r="H479" s="9"/>
      <c r="I479" s="9"/>
      <c r="J479" s="9"/>
      <c r="K479" s="9"/>
    </row>
    <row r="480" spans="1:11" hidden="1" x14ac:dyDescent="0.3">
      <c r="A480" s="9"/>
      <c r="B480" s="9"/>
      <c r="C480" s="9"/>
      <c r="D480" s="9"/>
      <c r="E480" s="9"/>
      <c r="F480" s="9"/>
      <c r="G480" s="9"/>
      <c r="H480" s="9"/>
      <c r="I480" s="9"/>
      <c r="J480" s="9"/>
      <c r="K480" s="9"/>
    </row>
    <row r="481" spans="1:11" hidden="1" x14ac:dyDescent="0.3">
      <c r="A481" s="9"/>
      <c r="B481" s="9"/>
      <c r="C481" s="9"/>
      <c r="D481" s="9"/>
      <c r="E481" s="9"/>
      <c r="F481" s="9"/>
      <c r="G481" s="9"/>
      <c r="H481" s="9"/>
      <c r="I481" s="9"/>
      <c r="J481" s="9"/>
      <c r="K481" s="9"/>
    </row>
    <row r="482" spans="1:11" hidden="1" x14ac:dyDescent="0.3">
      <c r="A482" s="9"/>
      <c r="B482" s="9"/>
      <c r="C482" s="9"/>
      <c r="D482" s="9"/>
      <c r="E482" s="9"/>
      <c r="F482" s="9"/>
      <c r="G482" s="9"/>
      <c r="H482" s="9"/>
      <c r="I482" s="9"/>
      <c r="J482" s="9"/>
      <c r="K482" s="9"/>
    </row>
    <row r="483" spans="1:11" hidden="1" x14ac:dyDescent="0.3">
      <c r="A483" s="9"/>
      <c r="B483" s="9"/>
      <c r="C483" s="9"/>
      <c r="D483" s="9"/>
      <c r="E483" s="9"/>
      <c r="F483" s="9"/>
      <c r="G483" s="9"/>
      <c r="H483" s="9"/>
      <c r="I483" s="9"/>
      <c r="J483" s="9"/>
      <c r="K483" s="9"/>
    </row>
    <row r="484" spans="1:11" hidden="1" x14ac:dyDescent="0.3">
      <c r="A484" s="9"/>
      <c r="B484" s="9"/>
      <c r="C484" s="9"/>
      <c r="D484" s="9"/>
      <c r="E484" s="9"/>
      <c r="F484" s="9"/>
      <c r="G484" s="9"/>
      <c r="H484" s="9"/>
      <c r="I484" s="9"/>
      <c r="J484" s="9"/>
      <c r="K484" s="9"/>
    </row>
    <row r="485" spans="1:11" hidden="1" x14ac:dyDescent="0.3">
      <c r="A485" s="9"/>
      <c r="B485" s="9"/>
      <c r="C485" s="9"/>
      <c r="D485" s="9"/>
      <c r="E485" s="9"/>
      <c r="F485" s="9"/>
      <c r="G485" s="9"/>
      <c r="H485" s="9"/>
      <c r="I485" s="9"/>
      <c r="J485" s="9"/>
      <c r="K485" s="9"/>
    </row>
    <row r="486" spans="1:11" hidden="1" x14ac:dyDescent="0.3">
      <c r="A486" s="9"/>
      <c r="B486" s="9"/>
      <c r="C486" s="9"/>
      <c r="D486" s="9"/>
      <c r="E486" s="9"/>
      <c r="F486" s="9"/>
      <c r="G486" s="9"/>
      <c r="H486" s="9"/>
      <c r="I486" s="9"/>
      <c r="J486" s="9"/>
      <c r="K486" s="9"/>
    </row>
    <row r="487" spans="1:11" hidden="1" x14ac:dyDescent="0.3">
      <c r="A487" s="9"/>
      <c r="B487" s="9"/>
      <c r="C487" s="9"/>
      <c r="D487" s="9"/>
      <c r="E487" s="9"/>
      <c r="F487" s="9"/>
      <c r="G487" s="9"/>
      <c r="H487" s="9"/>
      <c r="I487" s="9"/>
      <c r="J487" s="9"/>
      <c r="K487" s="9"/>
    </row>
    <row r="488" spans="1:11" hidden="1" x14ac:dyDescent="0.3">
      <c r="A488" s="9"/>
      <c r="B488" s="9"/>
      <c r="C488" s="9"/>
      <c r="D488" s="9"/>
      <c r="E488" s="9"/>
      <c r="F488" s="9"/>
      <c r="G488" s="9"/>
      <c r="H488" s="9"/>
      <c r="I488" s="9"/>
      <c r="J488" s="9"/>
      <c r="K488" s="9"/>
    </row>
    <row r="489" spans="1:11" hidden="1" x14ac:dyDescent="0.3">
      <c r="A489" s="9"/>
      <c r="B489" s="9"/>
      <c r="C489" s="9"/>
      <c r="D489" s="9"/>
      <c r="E489" s="9"/>
      <c r="F489" s="9"/>
      <c r="G489" s="9"/>
      <c r="H489" s="9"/>
      <c r="I489" s="9"/>
      <c r="J489" s="9"/>
      <c r="K489" s="9"/>
    </row>
    <row r="490" spans="1:11" hidden="1" x14ac:dyDescent="0.3">
      <c r="A490" s="9"/>
      <c r="B490" s="9"/>
      <c r="C490" s="9"/>
      <c r="D490" s="9"/>
      <c r="E490" s="9"/>
      <c r="F490" s="9"/>
      <c r="G490" s="9"/>
      <c r="H490" s="9"/>
      <c r="I490" s="9"/>
      <c r="J490" s="9"/>
      <c r="K490" s="9"/>
    </row>
    <row r="491" spans="1:11" hidden="1" x14ac:dyDescent="0.3">
      <c r="A491" s="9"/>
      <c r="B491" s="9"/>
      <c r="C491" s="9"/>
      <c r="D491" s="9"/>
      <c r="E491" s="9"/>
      <c r="F491" s="9"/>
      <c r="G491" s="9"/>
      <c r="H491" s="9"/>
      <c r="I491" s="9"/>
      <c r="J491" s="9"/>
      <c r="K491" s="9"/>
    </row>
    <row r="492" spans="1:11" hidden="1" x14ac:dyDescent="0.3">
      <c r="A492" s="9"/>
      <c r="B492" s="9"/>
      <c r="C492" s="9"/>
      <c r="D492" s="9"/>
      <c r="E492" s="9"/>
      <c r="F492" s="9"/>
      <c r="G492" s="9"/>
      <c r="H492" s="9"/>
      <c r="I492" s="9"/>
      <c r="J492" s="9"/>
      <c r="K492" s="9"/>
    </row>
    <row r="493" spans="1:11" hidden="1" x14ac:dyDescent="0.3">
      <c r="A493" s="9"/>
      <c r="B493" s="9"/>
      <c r="C493" s="9"/>
      <c r="D493" s="9"/>
      <c r="E493" s="9"/>
      <c r="F493" s="9"/>
      <c r="G493" s="9"/>
      <c r="H493" s="9"/>
      <c r="I493" s="9"/>
      <c r="J493" s="9"/>
      <c r="K493" s="9"/>
    </row>
    <row r="494" spans="1:11" hidden="1" x14ac:dyDescent="0.3">
      <c r="A494" s="9"/>
      <c r="B494" s="9"/>
      <c r="C494" s="9"/>
      <c r="D494" s="9"/>
      <c r="E494" s="9"/>
      <c r="F494" s="9"/>
      <c r="G494" s="9"/>
      <c r="H494" s="9"/>
      <c r="I494" s="9"/>
      <c r="J494" s="9"/>
      <c r="K494" s="9"/>
    </row>
    <row r="495" spans="1:11" hidden="1" x14ac:dyDescent="0.3">
      <c r="A495" s="9"/>
      <c r="B495" s="9"/>
      <c r="C495" s="9"/>
      <c r="D495" s="9"/>
      <c r="E495" s="9"/>
      <c r="F495" s="9"/>
      <c r="G495" s="9"/>
      <c r="H495" s="9"/>
      <c r="I495" s="9"/>
      <c r="J495" s="9"/>
      <c r="K495" s="9"/>
    </row>
    <row r="496" spans="1:11" hidden="1" x14ac:dyDescent="0.3">
      <c r="A496" s="9"/>
      <c r="B496" s="9"/>
      <c r="C496" s="9"/>
      <c r="D496" s="9"/>
      <c r="E496" s="9"/>
      <c r="F496" s="9"/>
      <c r="G496" s="9"/>
      <c r="H496" s="9"/>
      <c r="I496" s="9"/>
      <c r="J496" s="9"/>
      <c r="K496" s="9"/>
    </row>
    <row r="497" spans="1:11" hidden="1" x14ac:dyDescent="0.3">
      <c r="A497" s="9"/>
      <c r="B497" s="9"/>
      <c r="C497" s="9"/>
      <c r="D497" s="9"/>
      <c r="E497" s="9"/>
      <c r="F497" s="9"/>
      <c r="G497" s="9"/>
      <c r="H497" s="9"/>
      <c r="I497" s="9"/>
      <c r="J497" s="9"/>
      <c r="K497" s="9"/>
    </row>
    <row r="498" spans="1:11" hidden="1" x14ac:dyDescent="0.3">
      <c r="A498" s="9"/>
      <c r="B498" s="9"/>
      <c r="C498" s="9"/>
      <c r="D498" s="9"/>
      <c r="E498" s="9"/>
      <c r="F498" s="9"/>
      <c r="G498" s="9"/>
      <c r="H498" s="9"/>
      <c r="I498" s="9"/>
      <c r="J498" s="9"/>
      <c r="K498" s="9"/>
    </row>
    <row r="499" spans="1:11" hidden="1" x14ac:dyDescent="0.3">
      <c r="A499" s="9"/>
      <c r="B499" s="9"/>
      <c r="C499" s="9"/>
      <c r="D499" s="9"/>
      <c r="E499" s="9"/>
      <c r="F499" s="9"/>
      <c r="G499" s="9"/>
      <c r="H499" s="9"/>
      <c r="I499" s="9"/>
      <c r="J499" s="9"/>
      <c r="K499" s="9"/>
    </row>
    <row r="500" spans="1:11" hidden="1" x14ac:dyDescent="0.3">
      <c r="A500" s="9"/>
      <c r="B500" s="9"/>
      <c r="C500" s="9"/>
      <c r="D500" s="9"/>
      <c r="E500" s="9"/>
      <c r="F500" s="9"/>
      <c r="G500" s="9"/>
      <c r="H500" s="9"/>
      <c r="I500" s="9"/>
      <c r="J500" s="9"/>
      <c r="K500" s="9"/>
    </row>
    <row r="501" spans="1:11" hidden="1" x14ac:dyDescent="0.3">
      <c r="A501" s="9"/>
      <c r="B501" s="9"/>
      <c r="C501" s="9"/>
      <c r="D501" s="9"/>
      <c r="E501" s="9"/>
      <c r="F501" s="9"/>
      <c r="G501" s="9"/>
      <c r="H501" s="9"/>
      <c r="I501" s="9"/>
      <c r="J501" s="9"/>
      <c r="K501" s="9"/>
    </row>
    <row r="502" spans="1:11" hidden="1" x14ac:dyDescent="0.3">
      <c r="A502" s="9"/>
      <c r="B502" s="9"/>
      <c r="C502" s="9"/>
      <c r="D502" s="9"/>
      <c r="E502" s="9"/>
      <c r="F502" s="9"/>
      <c r="G502" s="9"/>
      <c r="H502" s="9"/>
      <c r="I502" s="9"/>
      <c r="J502" s="9"/>
      <c r="K502" s="9"/>
    </row>
    <row r="503" spans="1:11" hidden="1" x14ac:dyDescent="0.3">
      <c r="A503" s="9"/>
      <c r="B503" s="9"/>
      <c r="C503" s="9"/>
      <c r="D503" s="9"/>
      <c r="E503" s="9"/>
      <c r="F503" s="9"/>
      <c r="G503" s="9"/>
      <c r="H503" s="9"/>
      <c r="I503" s="9"/>
      <c r="J503" s="9"/>
      <c r="K503" s="9"/>
    </row>
    <row r="504" spans="1:11" hidden="1" x14ac:dyDescent="0.3">
      <c r="A504" s="9"/>
      <c r="B504" s="9"/>
      <c r="C504" s="9"/>
      <c r="D504" s="9"/>
      <c r="E504" s="9"/>
      <c r="F504" s="9"/>
      <c r="G504" s="9"/>
      <c r="H504" s="9"/>
      <c r="I504" s="9"/>
      <c r="J504" s="9"/>
      <c r="K504" s="9"/>
    </row>
    <row r="505" spans="1:11" hidden="1" x14ac:dyDescent="0.3">
      <c r="A505" s="9"/>
      <c r="B505" s="9"/>
      <c r="C505" s="9"/>
      <c r="D505" s="9"/>
      <c r="E505" s="9"/>
      <c r="F505" s="9"/>
      <c r="G505" s="9"/>
      <c r="H505" s="9"/>
      <c r="I505" s="9"/>
      <c r="J505" s="9"/>
      <c r="K505" s="9"/>
    </row>
    <row r="506" spans="1:11" hidden="1" x14ac:dyDescent="0.3">
      <c r="A506" s="9"/>
      <c r="B506" s="9"/>
      <c r="C506" s="9"/>
      <c r="D506" s="9"/>
      <c r="E506" s="9"/>
      <c r="F506" s="9"/>
      <c r="G506" s="9"/>
      <c r="H506" s="9"/>
      <c r="I506" s="9"/>
      <c r="J506" s="9"/>
      <c r="K506" s="9"/>
    </row>
    <row r="507" spans="1:11" hidden="1" x14ac:dyDescent="0.3">
      <c r="A507" s="9"/>
      <c r="B507" s="9"/>
      <c r="C507" s="9"/>
      <c r="D507" s="9"/>
      <c r="E507" s="9"/>
      <c r="F507" s="9"/>
      <c r="G507" s="9"/>
      <c r="H507" s="9"/>
      <c r="I507" s="9"/>
      <c r="J507" s="9"/>
      <c r="K507" s="9"/>
    </row>
    <row r="508" spans="1:11" hidden="1" x14ac:dyDescent="0.3">
      <c r="A508" s="9"/>
      <c r="B508" s="9"/>
      <c r="C508" s="9"/>
      <c r="D508" s="9"/>
      <c r="E508" s="9"/>
      <c r="F508" s="9"/>
      <c r="G508" s="9"/>
      <c r="H508" s="9"/>
      <c r="I508" s="9"/>
      <c r="J508" s="9"/>
      <c r="K508" s="9"/>
    </row>
    <row r="509" spans="1:11" hidden="1" x14ac:dyDescent="0.3">
      <c r="A509" s="9"/>
      <c r="B509" s="9"/>
      <c r="C509" s="9"/>
      <c r="D509" s="9"/>
      <c r="E509" s="9"/>
      <c r="F509" s="9"/>
      <c r="G509" s="9"/>
      <c r="H509" s="9"/>
      <c r="I509" s="9"/>
      <c r="J509" s="9"/>
      <c r="K509" s="9"/>
    </row>
    <row r="510" spans="1:11" hidden="1" x14ac:dyDescent="0.3">
      <c r="A510" s="9"/>
      <c r="B510" s="9"/>
      <c r="C510" s="9"/>
      <c r="D510" s="9"/>
      <c r="E510" s="9"/>
      <c r="F510" s="9"/>
      <c r="G510" s="9"/>
      <c r="H510" s="9"/>
      <c r="I510" s="9"/>
      <c r="J510" s="9"/>
      <c r="K510" s="9"/>
    </row>
    <row r="511" spans="1:11" hidden="1" x14ac:dyDescent="0.3">
      <c r="A511" s="9"/>
      <c r="B511" s="9"/>
      <c r="C511" s="9"/>
      <c r="D511" s="9"/>
      <c r="E511" s="9"/>
      <c r="F511" s="9"/>
      <c r="G511" s="9"/>
      <c r="H511" s="9"/>
      <c r="I511" s="9"/>
      <c r="J511" s="9"/>
      <c r="K511" s="9"/>
    </row>
    <row r="512" spans="1:11" hidden="1" x14ac:dyDescent="0.3">
      <c r="A512" s="9"/>
      <c r="B512" s="9"/>
      <c r="C512" s="9"/>
      <c r="D512" s="9"/>
      <c r="E512" s="9"/>
      <c r="F512" s="9"/>
      <c r="G512" s="9"/>
      <c r="H512" s="9"/>
      <c r="I512" s="9"/>
      <c r="J512" s="9"/>
      <c r="K512" s="9"/>
    </row>
    <row r="513" spans="1:11" hidden="1" x14ac:dyDescent="0.3">
      <c r="A513" s="9"/>
      <c r="B513" s="9"/>
      <c r="C513" s="9"/>
      <c r="D513" s="9"/>
      <c r="E513" s="9"/>
      <c r="F513" s="9"/>
      <c r="G513" s="9"/>
      <c r="H513" s="9"/>
      <c r="I513" s="9"/>
      <c r="J513" s="9"/>
      <c r="K513" s="9"/>
    </row>
    <row r="514" spans="1:11" hidden="1" x14ac:dyDescent="0.3">
      <c r="A514" s="9"/>
      <c r="B514" s="9"/>
      <c r="C514" s="9"/>
      <c r="D514" s="9"/>
      <c r="E514" s="9"/>
      <c r="F514" s="9"/>
      <c r="G514" s="9"/>
      <c r="H514" s="9"/>
      <c r="I514" s="9"/>
      <c r="J514" s="9"/>
      <c r="K514" s="9"/>
    </row>
    <row r="515" spans="1:11" hidden="1" x14ac:dyDescent="0.3">
      <c r="A515" s="9"/>
      <c r="B515" s="9"/>
      <c r="C515" s="9"/>
      <c r="D515" s="9"/>
      <c r="E515" s="9"/>
      <c r="F515" s="9"/>
      <c r="G515" s="9"/>
      <c r="H515" s="9"/>
      <c r="I515" s="9"/>
      <c r="J515" s="9"/>
      <c r="K515" s="9"/>
    </row>
    <row r="516" spans="1:11" hidden="1" x14ac:dyDescent="0.3">
      <c r="A516" s="9"/>
      <c r="B516" s="9"/>
      <c r="C516" s="9"/>
      <c r="D516" s="9"/>
      <c r="E516" s="9"/>
      <c r="F516" s="9"/>
      <c r="G516" s="9"/>
      <c r="H516" s="9"/>
      <c r="I516" s="9"/>
      <c r="J516" s="9"/>
      <c r="K516" s="9"/>
    </row>
    <row r="517" spans="1:11" hidden="1" x14ac:dyDescent="0.3">
      <c r="A517" s="9"/>
      <c r="B517" s="9"/>
      <c r="C517" s="9"/>
      <c r="D517" s="9"/>
      <c r="E517" s="9"/>
      <c r="F517" s="9"/>
      <c r="G517" s="9"/>
      <c r="H517" s="9"/>
      <c r="I517" s="9"/>
      <c r="J517" s="9"/>
      <c r="K517" s="9"/>
    </row>
    <row r="518" spans="1:11" hidden="1" x14ac:dyDescent="0.3">
      <c r="A518" s="9"/>
      <c r="B518" s="9"/>
      <c r="C518" s="9"/>
      <c r="D518" s="9"/>
      <c r="E518" s="9"/>
      <c r="F518" s="9"/>
      <c r="G518" s="9"/>
      <c r="H518" s="9"/>
      <c r="I518" s="9"/>
      <c r="J518" s="9"/>
      <c r="K518" s="9"/>
    </row>
    <row r="519" spans="1:11" hidden="1" x14ac:dyDescent="0.3">
      <c r="A519" s="9"/>
      <c r="B519" s="9"/>
      <c r="C519" s="9"/>
      <c r="D519" s="9"/>
      <c r="E519" s="9"/>
      <c r="F519" s="9"/>
      <c r="G519" s="9"/>
      <c r="H519" s="9"/>
      <c r="I519" s="9"/>
      <c r="J519" s="9"/>
      <c r="K519" s="9"/>
    </row>
    <row r="520" spans="1:11" hidden="1" x14ac:dyDescent="0.3">
      <c r="A520" s="9"/>
      <c r="B520" s="9"/>
      <c r="C520" s="9"/>
      <c r="D520" s="9"/>
      <c r="E520" s="9"/>
      <c r="F520" s="9"/>
      <c r="G520" s="9"/>
      <c r="H520" s="9"/>
      <c r="I520" s="9"/>
      <c r="J520" s="9"/>
      <c r="K520" s="9"/>
    </row>
    <row r="521" spans="1:11" hidden="1" x14ac:dyDescent="0.3">
      <c r="A521" s="9"/>
      <c r="B521" s="9"/>
      <c r="C521" s="9"/>
      <c r="D521" s="9"/>
      <c r="E521" s="9"/>
      <c r="F521" s="9"/>
      <c r="G521" s="9"/>
      <c r="H521" s="9"/>
      <c r="I521" s="9"/>
      <c r="J521" s="9"/>
      <c r="K521" s="9"/>
    </row>
    <row r="522" spans="1:11" hidden="1" x14ac:dyDescent="0.3">
      <c r="A522" s="9"/>
      <c r="B522" s="9"/>
      <c r="C522" s="9"/>
      <c r="D522" s="9"/>
      <c r="E522" s="9"/>
      <c r="F522" s="9"/>
      <c r="G522" s="9"/>
      <c r="H522" s="9"/>
      <c r="I522" s="9"/>
      <c r="J522" s="9"/>
      <c r="K522" s="9"/>
    </row>
    <row r="523" spans="1:11" hidden="1" x14ac:dyDescent="0.3">
      <c r="A523" s="9"/>
      <c r="B523" s="9"/>
      <c r="C523" s="9"/>
      <c r="D523" s="9"/>
      <c r="E523" s="9"/>
      <c r="F523" s="9"/>
      <c r="G523" s="9"/>
      <c r="H523" s="9"/>
      <c r="I523" s="9"/>
      <c r="J523" s="9"/>
      <c r="K523" s="9"/>
    </row>
    <row r="524" spans="1:11" hidden="1" x14ac:dyDescent="0.3">
      <c r="A524" s="9"/>
      <c r="B524" s="9"/>
      <c r="C524" s="9"/>
      <c r="D524" s="9"/>
      <c r="E524" s="9"/>
      <c r="F524" s="9"/>
      <c r="G524" s="9"/>
      <c r="H524" s="9"/>
      <c r="I524" s="9"/>
      <c r="J524" s="9"/>
      <c r="K524" s="9"/>
    </row>
    <row r="525" spans="1:11" hidden="1" x14ac:dyDescent="0.3">
      <c r="A525" s="9"/>
      <c r="B525" s="9"/>
      <c r="C525" s="9"/>
      <c r="D525" s="9"/>
      <c r="E525" s="9"/>
      <c r="F525" s="9"/>
      <c r="G525" s="9"/>
      <c r="H525" s="9"/>
      <c r="I525" s="9"/>
      <c r="J525" s="9"/>
      <c r="K525" s="9"/>
    </row>
    <row r="526" spans="1:11" hidden="1" x14ac:dyDescent="0.3">
      <c r="A526" s="9"/>
      <c r="B526" s="9"/>
      <c r="C526" s="9"/>
      <c r="D526" s="9"/>
      <c r="E526" s="9"/>
      <c r="F526" s="9"/>
      <c r="G526" s="9"/>
      <c r="H526" s="9"/>
      <c r="I526" s="9"/>
      <c r="J526" s="9"/>
      <c r="K526" s="9"/>
    </row>
    <row r="527" spans="1:11" hidden="1" x14ac:dyDescent="0.3">
      <c r="A527" s="9"/>
      <c r="B527" s="9"/>
      <c r="C527" s="9"/>
      <c r="D527" s="9"/>
      <c r="E527" s="9"/>
      <c r="F527" s="9"/>
      <c r="G527" s="9"/>
      <c r="H527" s="9"/>
      <c r="I527" s="9"/>
      <c r="J527" s="9"/>
      <c r="K527" s="9"/>
    </row>
    <row r="528" spans="1:11" hidden="1" x14ac:dyDescent="0.3">
      <c r="A528" s="9"/>
      <c r="B528" s="9"/>
      <c r="C528" s="9"/>
      <c r="D528" s="9"/>
      <c r="E528" s="9"/>
      <c r="F528" s="9"/>
      <c r="G528" s="9"/>
      <c r="H528" s="9"/>
      <c r="I528" s="9"/>
      <c r="J528" s="9"/>
      <c r="K528" s="9"/>
    </row>
    <row r="529" spans="1:11" hidden="1" x14ac:dyDescent="0.3">
      <c r="A529" s="9"/>
      <c r="B529" s="9"/>
      <c r="C529" s="9"/>
      <c r="D529" s="9"/>
      <c r="E529" s="9"/>
      <c r="F529" s="9"/>
      <c r="G529" s="9"/>
      <c r="H529" s="9"/>
      <c r="I529" s="9"/>
      <c r="J529" s="9"/>
      <c r="K529" s="9"/>
    </row>
    <row r="530" spans="1:11" hidden="1" x14ac:dyDescent="0.3">
      <c r="A530" s="9"/>
      <c r="B530" s="9"/>
      <c r="C530" s="9"/>
      <c r="D530" s="9"/>
      <c r="E530" s="9"/>
      <c r="F530" s="9"/>
      <c r="G530" s="9"/>
      <c r="H530" s="9"/>
      <c r="I530" s="9"/>
      <c r="J530" s="9"/>
      <c r="K530" s="9"/>
    </row>
    <row r="531" spans="1:11" hidden="1" x14ac:dyDescent="0.3">
      <c r="A531" s="9"/>
      <c r="B531" s="9"/>
      <c r="C531" s="9"/>
      <c r="D531" s="9"/>
      <c r="E531" s="9"/>
      <c r="F531" s="9"/>
      <c r="G531" s="9"/>
      <c r="H531" s="9"/>
      <c r="I531" s="9"/>
      <c r="J531" s="9"/>
      <c r="K531" s="9"/>
    </row>
    <row r="532" spans="1:11" hidden="1" x14ac:dyDescent="0.3">
      <c r="A532" s="9"/>
      <c r="B532" s="9"/>
      <c r="C532" s="9"/>
      <c r="D532" s="9"/>
      <c r="E532" s="9"/>
      <c r="F532" s="9"/>
      <c r="G532" s="9"/>
      <c r="H532" s="9"/>
      <c r="I532" s="9"/>
      <c r="J532" s="9"/>
      <c r="K532" s="9"/>
    </row>
    <row r="533" spans="1:11" hidden="1" x14ac:dyDescent="0.3">
      <c r="A533" s="9"/>
      <c r="B533" s="9"/>
      <c r="C533" s="9"/>
      <c r="D533" s="9"/>
      <c r="E533" s="9"/>
      <c r="F533" s="9"/>
      <c r="G533" s="9"/>
      <c r="H533" s="9"/>
      <c r="I533" s="9"/>
      <c r="J533" s="9"/>
      <c r="K533" s="9"/>
    </row>
    <row r="534" spans="1:11" hidden="1" x14ac:dyDescent="0.3">
      <c r="A534" s="9"/>
      <c r="B534" s="9"/>
      <c r="C534" s="9"/>
      <c r="D534" s="9"/>
      <c r="E534" s="9"/>
      <c r="F534" s="9"/>
      <c r="G534" s="9"/>
      <c r="H534" s="9"/>
      <c r="I534" s="9"/>
      <c r="J534" s="9"/>
      <c r="K534" s="9"/>
    </row>
    <row r="535" spans="1:11" hidden="1" x14ac:dyDescent="0.3">
      <c r="A535" s="9"/>
      <c r="B535" s="9"/>
      <c r="C535" s="9"/>
      <c r="D535" s="9"/>
      <c r="E535" s="9"/>
      <c r="F535" s="9"/>
      <c r="G535" s="9"/>
      <c r="H535" s="9"/>
      <c r="I535" s="9"/>
      <c r="J535" s="9"/>
      <c r="K535" s="9"/>
    </row>
    <row r="536" spans="1:11" hidden="1" x14ac:dyDescent="0.3">
      <c r="A536" s="9"/>
      <c r="B536" s="9"/>
      <c r="C536" s="9"/>
      <c r="D536" s="9"/>
      <c r="E536" s="9"/>
      <c r="F536" s="9"/>
      <c r="G536" s="9"/>
      <c r="H536" s="9"/>
      <c r="I536" s="9"/>
      <c r="J536" s="9"/>
      <c r="K536" s="9"/>
    </row>
    <row r="537" spans="1:11" hidden="1" x14ac:dyDescent="0.3">
      <c r="A537" s="9"/>
      <c r="B537" s="9"/>
      <c r="C537" s="9"/>
      <c r="D537" s="9"/>
      <c r="E537" s="9"/>
      <c r="F537" s="9"/>
      <c r="G537" s="9"/>
      <c r="H537" s="9"/>
      <c r="I537" s="9"/>
      <c r="J537" s="9"/>
      <c r="K537" s="9"/>
    </row>
    <row r="538" spans="1:11" hidden="1" x14ac:dyDescent="0.3">
      <c r="A538" s="9"/>
      <c r="B538" s="9"/>
      <c r="C538" s="9"/>
      <c r="D538" s="9"/>
      <c r="E538" s="9"/>
      <c r="F538" s="9"/>
      <c r="G538" s="9"/>
      <c r="H538" s="9"/>
      <c r="I538" s="9"/>
      <c r="J538" s="9"/>
      <c r="K538" s="9"/>
    </row>
    <row r="539" spans="1:11" hidden="1" x14ac:dyDescent="0.3">
      <c r="A539" s="9"/>
      <c r="B539" s="9"/>
      <c r="C539" s="9"/>
      <c r="D539" s="9"/>
      <c r="E539" s="9"/>
      <c r="F539" s="9"/>
      <c r="G539" s="9"/>
      <c r="H539" s="9"/>
      <c r="I539" s="9"/>
      <c r="J539" s="9"/>
      <c r="K539" s="9"/>
    </row>
    <row r="540" spans="1:11" hidden="1" x14ac:dyDescent="0.3">
      <c r="A540" s="9"/>
      <c r="B540" s="9"/>
      <c r="C540" s="9"/>
      <c r="D540" s="9"/>
      <c r="E540" s="9"/>
      <c r="F540" s="9"/>
      <c r="G540" s="9"/>
      <c r="H540" s="9"/>
      <c r="I540" s="9"/>
      <c r="J540" s="9"/>
      <c r="K540" s="9"/>
    </row>
    <row r="541" spans="1:11" hidden="1" x14ac:dyDescent="0.3">
      <c r="A541" s="9"/>
      <c r="B541" s="9"/>
      <c r="C541" s="9"/>
      <c r="D541" s="9"/>
      <c r="E541" s="9"/>
      <c r="F541" s="9"/>
      <c r="G541" s="9"/>
      <c r="H541" s="9"/>
      <c r="I541" s="9"/>
      <c r="J541" s="9"/>
      <c r="K541" s="9"/>
    </row>
    <row r="542" spans="1:11" hidden="1" x14ac:dyDescent="0.3">
      <c r="A542" s="9"/>
      <c r="B542" s="9"/>
      <c r="C542" s="9"/>
      <c r="D542" s="9"/>
      <c r="E542" s="9"/>
      <c r="F542" s="9"/>
      <c r="G542" s="9"/>
      <c r="H542" s="9"/>
      <c r="I542" s="9"/>
      <c r="J542" s="9"/>
      <c r="K542" s="9"/>
    </row>
    <row r="543" spans="1:11" hidden="1" x14ac:dyDescent="0.3">
      <c r="A543" s="9"/>
      <c r="B543" s="9"/>
      <c r="C543" s="9"/>
      <c r="D543" s="9"/>
      <c r="E543" s="9"/>
      <c r="F543" s="9"/>
      <c r="G543" s="9"/>
      <c r="H543" s="9"/>
      <c r="I543" s="9"/>
      <c r="J543" s="9"/>
      <c r="K543" s="9"/>
    </row>
    <row r="544" spans="1:11" hidden="1" x14ac:dyDescent="0.3">
      <c r="A544" s="9"/>
      <c r="B544" s="9"/>
      <c r="C544" s="9"/>
      <c r="D544" s="9"/>
      <c r="E544" s="9"/>
      <c r="F544" s="9"/>
      <c r="G544" s="9"/>
      <c r="H544" s="9"/>
      <c r="I544" s="9"/>
      <c r="J544" s="9"/>
      <c r="K544" s="9"/>
    </row>
    <row r="545" spans="1:11" hidden="1" x14ac:dyDescent="0.3">
      <c r="A545" s="9"/>
      <c r="B545" s="9"/>
      <c r="C545" s="9"/>
      <c r="D545" s="9"/>
      <c r="E545" s="9"/>
      <c r="F545" s="9"/>
      <c r="G545" s="9"/>
      <c r="H545" s="9"/>
      <c r="I545" s="9"/>
      <c r="J545" s="9"/>
      <c r="K545" s="9"/>
    </row>
    <row r="546" spans="1:11" hidden="1" x14ac:dyDescent="0.3">
      <c r="A546" s="9"/>
      <c r="B546" s="9"/>
      <c r="C546" s="9"/>
      <c r="D546" s="9"/>
      <c r="E546" s="9"/>
      <c r="F546" s="9"/>
      <c r="G546" s="9"/>
      <c r="H546" s="9"/>
      <c r="I546" s="9"/>
      <c r="J546" s="9"/>
      <c r="K546" s="9"/>
    </row>
    <row r="547" spans="1:11" hidden="1" x14ac:dyDescent="0.3">
      <c r="A547" s="9"/>
      <c r="B547" s="9"/>
      <c r="C547" s="9"/>
      <c r="D547" s="9"/>
      <c r="E547" s="9"/>
      <c r="F547" s="9"/>
      <c r="G547" s="9"/>
      <c r="H547" s="9"/>
      <c r="I547" s="9"/>
      <c r="J547" s="9"/>
      <c r="K547" s="9"/>
    </row>
    <row r="548" spans="1:11" hidden="1" x14ac:dyDescent="0.3">
      <c r="A548" s="9"/>
      <c r="B548" s="9"/>
      <c r="C548" s="9"/>
      <c r="D548" s="9"/>
      <c r="E548" s="9"/>
      <c r="F548" s="9"/>
      <c r="G548" s="9"/>
      <c r="H548" s="9"/>
      <c r="I548" s="9"/>
      <c r="J548" s="9"/>
      <c r="K548" s="9"/>
    </row>
    <row r="549" spans="1:11" hidden="1" x14ac:dyDescent="0.3">
      <c r="A549" s="9"/>
      <c r="B549" s="9"/>
      <c r="C549" s="9"/>
      <c r="D549" s="9"/>
      <c r="E549" s="9"/>
      <c r="F549" s="9"/>
      <c r="G549" s="9"/>
      <c r="H549" s="9"/>
      <c r="I549" s="9"/>
      <c r="J549" s="9"/>
      <c r="K549" s="9"/>
    </row>
    <row r="550" spans="1:11" hidden="1" x14ac:dyDescent="0.3">
      <c r="A550" s="9"/>
      <c r="B550" s="9"/>
      <c r="C550" s="9"/>
      <c r="D550" s="9"/>
      <c r="E550" s="9"/>
      <c r="F550" s="9"/>
      <c r="G550" s="9"/>
      <c r="H550" s="9"/>
      <c r="I550" s="9"/>
      <c r="J550" s="9"/>
      <c r="K550" s="9"/>
    </row>
    <row r="551" spans="1:11" hidden="1" x14ac:dyDescent="0.3">
      <c r="A551" s="9"/>
      <c r="B551" s="9"/>
      <c r="C551" s="9"/>
      <c r="D551" s="9"/>
      <c r="E551" s="9"/>
      <c r="F551" s="9"/>
      <c r="G551" s="9"/>
      <c r="H551" s="9"/>
      <c r="I551" s="9"/>
      <c r="J551" s="9"/>
      <c r="K551" s="9"/>
    </row>
    <row r="552" spans="1:11" hidden="1" x14ac:dyDescent="0.3">
      <c r="A552" s="9"/>
      <c r="B552" s="9"/>
      <c r="C552" s="9"/>
      <c r="D552" s="9"/>
      <c r="E552" s="9"/>
      <c r="F552" s="9"/>
      <c r="G552" s="9"/>
      <c r="H552" s="9"/>
      <c r="I552" s="9"/>
      <c r="J552" s="9"/>
      <c r="K552" s="9"/>
    </row>
    <row r="553" spans="1:11" hidden="1" x14ac:dyDescent="0.3">
      <c r="A553" s="9"/>
      <c r="B553" s="9"/>
      <c r="C553" s="9"/>
      <c r="D553" s="9"/>
      <c r="E553" s="9"/>
      <c r="F553" s="9"/>
      <c r="G553" s="9"/>
      <c r="H553" s="9"/>
      <c r="I553" s="9"/>
      <c r="J553" s="9"/>
      <c r="K553" s="9"/>
    </row>
    <row r="554" spans="1:11" hidden="1" x14ac:dyDescent="0.3">
      <c r="A554" s="9"/>
      <c r="B554" s="9"/>
      <c r="C554" s="9"/>
      <c r="D554" s="9"/>
      <c r="E554" s="9"/>
      <c r="F554" s="9"/>
      <c r="G554" s="9"/>
      <c r="H554" s="9"/>
      <c r="I554" s="9"/>
      <c r="J554" s="9"/>
      <c r="K554" s="9"/>
    </row>
    <row r="555" spans="1:11" hidden="1" x14ac:dyDescent="0.3">
      <c r="A555" s="9"/>
      <c r="B555" s="9"/>
      <c r="C555" s="9"/>
      <c r="D555" s="9"/>
      <c r="E555" s="9"/>
      <c r="F555" s="9"/>
      <c r="G555" s="9"/>
      <c r="H555" s="9"/>
      <c r="I555" s="9"/>
      <c r="J555" s="9"/>
      <c r="K555" s="9"/>
    </row>
    <row r="556" spans="1:11" hidden="1" x14ac:dyDescent="0.3">
      <c r="A556" s="9"/>
      <c r="B556" s="9"/>
      <c r="C556" s="9"/>
      <c r="D556" s="9"/>
      <c r="E556" s="9"/>
      <c r="F556" s="9"/>
      <c r="G556" s="9"/>
      <c r="H556" s="9"/>
      <c r="I556" s="9"/>
      <c r="J556" s="9"/>
      <c r="K556" s="9"/>
    </row>
    <row r="557" spans="1:11" hidden="1" x14ac:dyDescent="0.3">
      <c r="A557" s="9"/>
      <c r="B557" s="9"/>
      <c r="C557" s="9"/>
      <c r="D557" s="9"/>
      <c r="E557" s="9"/>
      <c r="F557" s="9"/>
      <c r="G557" s="9"/>
      <c r="H557" s="9"/>
      <c r="I557" s="9"/>
      <c r="J557" s="9"/>
      <c r="K557" s="9"/>
    </row>
    <row r="558" spans="1:11" hidden="1" x14ac:dyDescent="0.3">
      <c r="A558" s="9"/>
      <c r="B558" s="9"/>
      <c r="C558" s="9"/>
      <c r="D558" s="9"/>
      <c r="E558" s="9"/>
      <c r="F558" s="9"/>
      <c r="G558" s="9"/>
      <c r="H558" s="9"/>
      <c r="I558" s="9"/>
      <c r="J558" s="9"/>
      <c r="K558" s="9"/>
    </row>
    <row r="559" spans="1:11" hidden="1" x14ac:dyDescent="0.3">
      <c r="A559" s="9"/>
      <c r="B559" s="9"/>
      <c r="C559" s="9"/>
      <c r="D559" s="9"/>
      <c r="E559" s="9"/>
      <c r="F559" s="9"/>
      <c r="G559" s="9"/>
      <c r="H559" s="9"/>
      <c r="I559" s="9"/>
      <c r="J559" s="9"/>
      <c r="K559" s="9"/>
    </row>
    <row r="560" spans="1:11" hidden="1" x14ac:dyDescent="0.3">
      <c r="A560" s="9"/>
      <c r="B560" s="9"/>
      <c r="C560" s="9"/>
      <c r="D560" s="9"/>
      <c r="E560" s="9"/>
      <c r="F560" s="9"/>
      <c r="G560" s="9"/>
      <c r="H560" s="9"/>
      <c r="I560" s="9"/>
      <c r="J560" s="9"/>
      <c r="K560" s="9"/>
    </row>
    <row r="561" spans="1:11" hidden="1" x14ac:dyDescent="0.3">
      <c r="A561" s="9"/>
      <c r="B561" s="9"/>
      <c r="C561" s="9"/>
      <c r="D561" s="9"/>
      <c r="E561" s="9"/>
      <c r="F561" s="9"/>
      <c r="G561" s="9"/>
      <c r="H561" s="9"/>
      <c r="I561" s="9"/>
      <c r="J561" s="9"/>
      <c r="K561" s="9"/>
    </row>
    <row r="562" spans="1:11" hidden="1" x14ac:dyDescent="0.3">
      <c r="A562" s="9"/>
      <c r="B562" s="9"/>
      <c r="C562" s="9"/>
      <c r="D562" s="9"/>
      <c r="E562" s="9"/>
      <c r="F562" s="9"/>
      <c r="G562" s="9"/>
      <c r="H562" s="9"/>
      <c r="I562" s="9"/>
      <c r="J562" s="9"/>
      <c r="K562" s="9"/>
    </row>
    <row r="563" spans="1:11" hidden="1" x14ac:dyDescent="0.3">
      <c r="A563" s="9"/>
      <c r="B563" s="9"/>
      <c r="C563" s="9"/>
      <c r="D563" s="9"/>
      <c r="E563" s="9"/>
      <c r="F563" s="9"/>
      <c r="G563" s="9"/>
      <c r="H563" s="9"/>
      <c r="I563" s="9"/>
      <c r="J563" s="9"/>
      <c r="K563" s="9"/>
    </row>
    <row r="564" spans="1:11" hidden="1" x14ac:dyDescent="0.3">
      <c r="A564" s="9"/>
      <c r="B564" s="9"/>
      <c r="C564" s="9"/>
      <c r="D564" s="9"/>
      <c r="E564" s="9"/>
      <c r="F564" s="9"/>
      <c r="G564" s="9"/>
      <c r="H564" s="9"/>
      <c r="I564" s="9"/>
      <c r="J564" s="9"/>
      <c r="K564" s="9"/>
    </row>
    <row r="565" spans="1:11" hidden="1" x14ac:dyDescent="0.3">
      <c r="A565" s="9"/>
      <c r="B565" s="9"/>
      <c r="C565" s="9"/>
      <c r="D565" s="9"/>
      <c r="E565" s="9"/>
      <c r="F565" s="9"/>
      <c r="G565" s="9"/>
      <c r="H565" s="9"/>
      <c r="I565" s="9"/>
      <c r="J565" s="9"/>
      <c r="K565" s="9"/>
    </row>
    <row r="566" spans="1:11" hidden="1" x14ac:dyDescent="0.3">
      <c r="A566" s="9"/>
      <c r="B566" s="9"/>
      <c r="C566" s="9"/>
      <c r="D566" s="9"/>
      <c r="E566" s="9"/>
      <c r="F566" s="9"/>
      <c r="G566" s="9"/>
      <c r="H566" s="9"/>
      <c r="I566" s="9"/>
      <c r="J566" s="9"/>
      <c r="K566" s="9"/>
    </row>
    <row r="567" spans="1:11" hidden="1" x14ac:dyDescent="0.3">
      <c r="A567" s="9"/>
      <c r="B567" s="9"/>
      <c r="C567" s="9"/>
      <c r="D567" s="9"/>
      <c r="E567" s="9"/>
      <c r="F567" s="9"/>
      <c r="G567" s="9"/>
      <c r="H567" s="9"/>
      <c r="I567" s="9"/>
      <c r="J567" s="9"/>
      <c r="K567" s="9"/>
    </row>
    <row r="568" spans="1:11" hidden="1" x14ac:dyDescent="0.3">
      <c r="A568" s="9"/>
      <c r="B568" s="9"/>
      <c r="C568" s="9"/>
      <c r="D568" s="9"/>
      <c r="E568" s="9"/>
      <c r="F568" s="9"/>
      <c r="G568" s="9"/>
      <c r="H568" s="9"/>
      <c r="I568" s="9"/>
      <c r="J568" s="9"/>
      <c r="K568" s="9"/>
    </row>
    <row r="569" spans="1:11" hidden="1" x14ac:dyDescent="0.3">
      <c r="A569" s="9"/>
      <c r="B569" s="9"/>
      <c r="C569" s="9"/>
      <c r="D569" s="9"/>
      <c r="E569" s="9"/>
      <c r="F569" s="9"/>
      <c r="G569" s="9"/>
      <c r="H569" s="9"/>
      <c r="I569" s="9"/>
      <c r="J569" s="9"/>
      <c r="K569" s="9"/>
    </row>
    <row r="570" spans="1:11" hidden="1" x14ac:dyDescent="0.3">
      <c r="A570" s="9"/>
      <c r="B570" s="9"/>
      <c r="C570" s="9"/>
      <c r="D570" s="9"/>
      <c r="E570" s="9"/>
      <c r="F570" s="9"/>
      <c r="G570" s="9"/>
      <c r="H570" s="9"/>
      <c r="I570" s="9"/>
      <c r="J570" s="9"/>
      <c r="K570" s="9"/>
    </row>
    <row r="571" spans="1:11" hidden="1" x14ac:dyDescent="0.3">
      <c r="A571" s="9"/>
      <c r="B571" s="9"/>
      <c r="C571" s="9"/>
      <c r="D571" s="9"/>
      <c r="E571" s="9"/>
      <c r="F571" s="9"/>
      <c r="G571" s="9"/>
      <c r="H571" s="9"/>
      <c r="I571" s="9"/>
      <c r="J571" s="9"/>
      <c r="K571" s="9"/>
    </row>
    <row r="572" spans="1:11" hidden="1" x14ac:dyDescent="0.3">
      <c r="A572" s="9"/>
      <c r="B572" s="9"/>
      <c r="C572" s="9"/>
      <c r="D572" s="9"/>
      <c r="E572" s="9"/>
      <c r="F572" s="9"/>
      <c r="G572" s="9"/>
      <c r="H572" s="9"/>
      <c r="I572" s="9"/>
      <c r="J572" s="9"/>
      <c r="K572" s="9"/>
    </row>
    <row r="573" spans="1:11" hidden="1" x14ac:dyDescent="0.3">
      <c r="A573" s="9"/>
      <c r="B573" s="9"/>
      <c r="C573" s="9"/>
      <c r="D573" s="9"/>
      <c r="E573" s="9"/>
      <c r="F573" s="9"/>
      <c r="G573" s="9"/>
      <c r="H573" s="9"/>
      <c r="I573" s="9"/>
      <c r="J573" s="9"/>
      <c r="K573" s="9"/>
    </row>
    <row r="574" spans="1:11" hidden="1" x14ac:dyDescent="0.3">
      <c r="A574" s="9"/>
      <c r="B574" s="9"/>
      <c r="C574" s="9"/>
      <c r="D574" s="9"/>
      <c r="E574" s="9"/>
      <c r="F574" s="9"/>
      <c r="G574" s="9"/>
      <c r="H574" s="9"/>
      <c r="I574" s="9"/>
      <c r="J574" s="9"/>
      <c r="K574" s="9"/>
    </row>
    <row r="575" spans="1:11" hidden="1" x14ac:dyDescent="0.3">
      <c r="A575" s="9"/>
      <c r="B575" s="9"/>
      <c r="C575" s="9"/>
      <c r="D575" s="9"/>
      <c r="E575" s="9"/>
      <c r="F575" s="9"/>
      <c r="G575" s="9"/>
      <c r="H575" s="9"/>
      <c r="I575" s="9"/>
      <c r="J575" s="9"/>
      <c r="K575" s="9"/>
    </row>
    <row r="576" spans="1:11" hidden="1" x14ac:dyDescent="0.3">
      <c r="A576" s="9"/>
      <c r="B576" s="9"/>
      <c r="C576" s="9"/>
      <c r="D576" s="9"/>
      <c r="E576" s="9"/>
      <c r="F576" s="9"/>
      <c r="G576" s="9"/>
      <c r="H576" s="9"/>
      <c r="I576" s="9"/>
      <c r="J576" s="9"/>
      <c r="K576" s="9"/>
    </row>
    <row r="577" spans="1:11" hidden="1" x14ac:dyDescent="0.3">
      <c r="A577" s="9"/>
      <c r="B577" s="9"/>
      <c r="C577" s="9"/>
      <c r="D577" s="9"/>
      <c r="E577" s="9"/>
      <c r="F577" s="9"/>
      <c r="G577" s="9"/>
      <c r="H577" s="9"/>
      <c r="I577" s="9"/>
      <c r="J577" s="9"/>
      <c r="K577" s="9"/>
    </row>
    <row r="578" spans="1:11" hidden="1" x14ac:dyDescent="0.3">
      <c r="A578" s="9"/>
      <c r="B578" s="9"/>
      <c r="C578" s="9"/>
      <c r="D578" s="9"/>
      <c r="E578" s="9"/>
      <c r="F578" s="9"/>
      <c r="G578" s="9"/>
      <c r="H578" s="9"/>
      <c r="I578" s="9"/>
      <c r="J578" s="9"/>
      <c r="K578" s="9"/>
    </row>
    <row r="579" spans="1:11" hidden="1" x14ac:dyDescent="0.3">
      <c r="A579" s="9"/>
      <c r="B579" s="9"/>
      <c r="C579" s="9"/>
      <c r="D579" s="9"/>
      <c r="E579" s="9"/>
      <c r="F579" s="9"/>
      <c r="G579" s="9"/>
      <c r="H579" s="9"/>
      <c r="I579" s="9"/>
      <c r="J579" s="9"/>
      <c r="K579" s="9"/>
    </row>
    <row r="580" spans="1:11" hidden="1" x14ac:dyDescent="0.3">
      <c r="A580" s="9"/>
      <c r="B580" s="9"/>
      <c r="C580" s="9"/>
      <c r="D580" s="9"/>
      <c r="E580" s="9"/>
      <c r="F580" s="9"/>
      <c r="G580" s="9"/>
      <c r="H580" s="9"/>
      <c r="I580" s="9"/>
      <c r="J580" s="9"/>
      <c r="K580" s="9"/>
    </row>
    <row r="581" spans="1:11" hidden="1" x14ac:dyDescent="0.3">
      <c r="A581" s="9"/>
      <c r="B581" s="9"/>
      <c r="C581" s="9"/>
      <c r="D581" s="9"/>
      <c r="E581" s="9"/>
      <c r="F581" s="9"/>
      <c r="G581" s="9"/>
      <c r="H581" s="9"/>
      <c r="I581" s="9"/>
      <c r="J581" s="9"/>
      <c r="K581" s="9"/>
    </row>
    <row r="582" spans="1:11" hidden="1" x14ac:dyDescent="0.3">
      <c r="A582" s="9"/>
      <c r="B582" s="9"/>
      <c r="C582" s="9"/>
      <c r="D582" s="9"/>
      <c r="E582" s="9"/>
      <c r="F582" s="9"/>
      <c r="G582" s="9"/>
      <c r="H582" s="9"/>
      <c r="I582" s="9"/>
      <c r="J582" s="9"/>
      <c r="K582" s="9"/>
    </row>
    <row r="583" spans="1:11" hidden="1" x14ac:dyDescent="0.3">
      <c r="A583" s="9"/>
      <c r="B583" s="9"/>
      <c r="C583" s="9"/>
      <c r="D583" s="9"/>
      <c r="E583" s="9"/>
      <c r="F583" s="9"/>
      <c r="G583" s="9"/>
      <c r="H583" s="9"/>
      <c r="I583" s="9"/>
      <c r="J583" s="9"/>
      <c r="K583" s="9"/>
    </row>
    <row r="584" spans="1:11" hidden="1" x14ac:dyDescent="0.3">
      <c r="A584" s="9"/>
      <c r="B584" s="9"/>
      <c r="C584" s="9"/>
      <c r="D584" s="9"/>
      <c r="E584" s="9"/>
      <c r="F584" s="9"/>
      <c r="G584" s="9"/>
      <c r="H584" s="9"/>
      <c r="I584" s="9"/>
      <c r="J584" s="9"/>
      <c r="K584" s="9"/>
    </row>
    <row r="585" spans="1:11" hidden="1" x14ac:dyDescent="0.3">
      <c r="A585" s="9"/>
      <c r="B585" s="9"/>
      <c r="C585" s="9"/>
      <c r="D585" s="9"/>
      <c r="E585" s="9"/>
      <c r="F585" s="9"/>
      <c r="G585" s="9"/>
      <c r="H585" s="9"/>
      <c r="I585" s="9"/>
      <c r="J585" s="9"/>
      <c r="K585" s="9"/>
    </row>
    <row r="586" spans="1:11" hidden="1" x14ac:dyDescent="0.3">
      <c r="A586" s="9"/>
      <c r="B586" s="9"/>
      <c r="C586" s="9"/>
      <c r="D586" s="9"/>
      <c r="E586" s="9"/>
      <c r="F586" s="9"/>
      <c r="G586" s="9"/>
      <c r="H586" s="9"/>
      <c r="I586" s="9"/>
      <c r="J586" s="9"/>
      <c r="K586" s="9"/>
    </row>
    <row r="587" spans="1:11" hidden="1" x14ac:dyDescent="0.3">
      <c r="A587" s="9"/>
      <c r="B587" s="9"/>
      <c r="C587" s="9"/>
      <c r="D587" s="9"/>
      <c r="E587" s="9"/>
      <c r="F587" s="9"/>
      <c r="G587" s="9"/>
      <c r="H587" s="9"/>
      <c r="I587" s="9"/>
      <c r="J587" s="9"/>
      <c r="K587" s="9"/>
    </row>
    <row r="588" spans="1:11" hidden="1" x14ac:dyDescent="0.3">
      <c r="A588" s="9"/>
      <c r="B588" s="9"/>
      <c r="C588" s="9"/>
      <c r="D588" s="9"/>
      <c r="E588" s="9"/>
      <c r="F588" s="9"/>
      <c r="G588" s="9"/>
      <c r="H588" s="9"/>
      <c r="I588" s="9"/>
      <c r="J588" s="9"/>
      <c r="K588" s="9"/>
    </row>
    <row r="589" spans="1:11" hidden="1" x14ac:dyDescent="0.3">
      <c r="A589" s="9"/>
      <c r="B589" s="9"/>
      <c r="C589" s="9"/>
      <c r="D589" s="9"/>
      <c r="E589" s="9"/>
      <c r="F589" s="9"/>
      <c r="G589" s="9"/>
      <c r="H589" s="9"/>
      <c r="I589" s="9"/>
      <c r="J589" s="9"/>
      <c r="K589" s="9"/>
    </row>
    <row r="590" spans="1:11" hidden="1" x14ac:dyDescent="0.3">
      <c r="A590" s="9"/>
      <c r="B590" s="9"/>
      <c r="C590" s="9"/>
      <c r="D590" s="9"/>
      <c r="E590" s="9"/>
      <c r="F590" s="9"/>
      <c r="G590" s="9"/>
      <c r="H590" s="9"/>
      <c r="I590" s="9"/>
      <c r="J590" s="9"/>
      <c r="K590" s="9"/>
    </row>
    <row r="591" spans="1:11" hidden="1" x14ac:dyDescent="0.3">
      <c r="A591" s="9"/>
      <c r="B591" s="9"/>
      <c r="C591" s="9"/>
      <c r="D591" s="9"/>
      <c r="E591" s="9"/>
      <c r="F591" s="9"/>
      <c r="G591" s="9"/>
      <c r="H591" s="9"/>
      <c r="I591" s="9"/>
      <c r="J591" s="9"/>
      <c r="K591" s="9"/>
    </row>
    <row r="592" spans="1:11" hidden="1" x14ac:dyDescent="0.3">
      <c r="A592" s="9"/>
      <c r="B592" s="9"/>
      <c r="C592" s="9"/>
      <c r="D592" s="9"/>
      <c r="E592" s="9"/>
      <c r="F592" s="9"/>
      <c r="G592" s="9"/>
      <c r="H592" s="9"/>
      <c r="I592" s="9"/>
      <c r="J592" s="9"/>
      <c r="K592" s="9"/>
    </row>
    <row r="593" spans="1:11" hidden="1" x14ac:dyDescent="0.3">
      <c r="A593" s="9"/>
      <c r="B593" s="9"/>
      <c r="C593" s="9"/>
      <c r="D593" s="9"/>
      <c r="E593" s="9"/>
      <c r="F593" s="9"/>
      <c r="G593" s="9"/>
      <c r="H593" s="9"/>
      <c r="I593" s="9"/>
      <c r="J593" s="9"/>
      <c r="K593" s="9"/>
    </row>
    <row r="594" spans="1:11" hidden="1" x14ac:dyDescent="0.3">
      <c r="A594" s="9"/>
      <c r="B594" s="9"/>
      <c r="C594" s="9"/>
      <c r="D594" s="9"/>
      <c r="E594" s="9"/>
      <c r="F594" s="9"/>
      <c r="G594" s="9"/>
      <c r="H594" s="9"/>
      <c r="I594" s="9"/>
      <c r="J594" s="9"/>
      <c r="K594" s="9"/>
    </row>
    <row r="595" spans="1:11" hidden="1" x14ac:dyDescent="0.3">
      <c r="A595" s="9"/>
      <c r="B595" s="9"/>
      <c r="C595" s="9"/>
      <c r="D595" s="9"/>
      <c r="E595" s="9"/>
      <c r="F595" s="9"/>
      <c r="G595" s="9"/>
      <c r="H595" s="9"/>
      <c r="I595" s="9"/>
      <c r="J595" s="9"/>
      <c r="K595" s="9"/>
    </row>
    <row r="596" spans="1:11" hidden="1" x14ac:dyDescent="0.3">
      <c r="A596" s="9"/>
      <c r="B596" s="9"/>
      <c r="C596" s="9"/>
      <c r="D596" s="9"/>
      <c r="E596" s="9"/>
      <c r="F596" s="9"/>
      <c r="G596" s="9"/>
      <c r="H596" s="9"/>
      <c r="I596" s="9"/>
      <c r="J596" s="9"/>
      <c r="K596" s="9"/>
    </row>
    <row r="597" spans="1:11" hidden="1" x14ac:dyDescent="0.3">
      <c r="A597" s="9"/>
      <c r="B597" s="9"/>
      <c r="C597" s="9"/>
      <c r="D597" s="9"/>
      <c r="E597" s="9"/>
      <c r="F597" s="9"/>
      <c r="G597" s="9"/>
      <c r="H597" s="9"/>
      <c r="I597" s="9"/>
      <c r="J597" s="9"/>
      <c r="K597" s="9"/>
    </row>
    <row r="598" spans="1:11" hidden="1" x14ac:dyDescent="0.3">
      <c r="A598" s="9"/>
      <c r="B598" s="9"/>
      <c r="C598" s="9"/>
      <c r="D598" s="9"/>
      <c r="E598" s="9"/>
      <c r="F598" s="9"/>
      <c r="G598" s="9"/>
      <c r="H598" s="9"/>
      <c r="I598" s="9"/>
      <c r="J598" s="9"/>
      <c r="K598" s="9"/>
    </row>
    <row r="599" spans="1:11" hidden="1" x14ac:dyDescent="0.3">
      <c r="A599" s="9"/>
      <c r="B599" s="9"/>
      <c r="C599" s="9"/>
      <c r="D599" s="9"/>
      <c r="E599" s="9"/>
      <c r="F599" s="9"/>
      <c r="G599" s="9"/>
      <c r="H599" s="9"/>
      <c r="I599" s="9"/>
      <c r="J599" s="9"/>
      <c r="K599" s="9"/>
    </row>
    <row r="600" spans="1:11" hidden="1" x14ac:dyDescent="0.3">
      <c r="A600" s="9"/>
      <c r="B600" s="9"/>
      <c r="C600" s="9"/>
      <c r="D600" s="9"/>
      <c r="E600" s="9"/>
      <c r="F600" s="9"/>
      <c r="G600" s="9"/>
      <c r="H600" s="9"/>
      <c r="I600" s="9"/>
      <c r="J600" s="9"/>
      <c r="K600" s="9"/>
    </row>
    <row r="601" spans="1:11" hidden="1" x14ac:dyDescent="0.3">
      <c r="A601" s="9"/>
      <c r="B601" s="9"/>
      <c r="C601" s="9"/>
      <c r="D601" s="9"/>
      <c r="E601" s="9"/>
      <c r="F601" s="9"/>
      <c r="G601" s="9"/>
      <c r="H601" s="9"/>
      <c r="I601" s="9"/>
      <c r="J601" s="9"/>
      <c r="K601" s="9"/>
    </row>
    <row r="602" spans="1:11" hidden="1" x14ac:dyDescent="0.3">
      <c r="A602" s="9"/>
      <c r="B602" s="9"/>
      <c r="C602" s="9"/>
      <c r="D602" s="9"/>
      <c r="E602" s="9"/>
      <c r="F602" s="9"/>
      <c r="G602" s="9"/>
      <c r="H602" s="9"/>
      <c r="I602" s="9"/>
      <c r="J602" s="9"/>
      <c r="K602" s="9"/>
    </row>
    <row r="603" spans="1:11" hidden="1" x14ac:dyDescent="0.3">
      <c r="A603" s="9"/>
      <c r="B603" s="9"/>
      <c r="C603" s="9"/>
      <c r="D603" s="9"/>
      <c r="E603" s="9"/>
      <c r="F603" s="9"/>
      <c r="G603" s="9"/>
      <c r="H603" s="9"/>
      <c r="I603" s="9"/>
      <c r="J603" s="9"/>
      <c r="K603" s="9"/>
    </row>
    <row r="604" spans="1:11" hidden="1" x14ac:dyDescent="0.3">
      <c r="A604" s="9"/>
      <c r="B604" s="9"/>
      <c r="C604" s="9"/>
      <c r="D604" s="9"/>
      <c r="E604" s="9"/>
      <c r="F604" s="9"/>
      <c r="G604" s="9"/>
      <c r="H604" s="9"/>
      <c r="I604" s="9"/>
      <c r="J604" s="9"/>
      <c r="K604" s="9"/>
    </row>
    <row r="605" spans="1:11" hidden="1" x14ac:dyDescent="0.3">
      <c r="A605" s="9"/>
      <c r="B605" s="9"/>
      <c r="C605" s="9"/>
      <c r="D605" s="9"/>
      <c r="E605" s="9"/>
      <c r="F605" s="9"/>
      <c r="G605" s="9"/>
      <c r="H605" s="9"/>
      <c r="I605" s="9"/>
      <c r="J605" s="9"/>
      <c r="K605" s="9"/>
    </row>
    <row r="606" spans="1:11" hidden="1" x14ac:dyDescent="0.3">
      <c r="A606" s="9"/>
      <c r="B606" s="9"/>
      <c r="C606" s="9"/>
      <c r="D606" s="9"/>
      <c r="E606" s="9"/>
      <c r="F606" s="9"/>
      <c r="G606" s="9"/>
      <c r="H606" s="9"/>
      <c r="I606" s="9"/>
      <c r="J606" s="9"/>
      <c r="K606" s="9"/>
    </row>
    <row r="607" spans="1:11" hidden="1" x14ac:dyDescent="0.3">
      <c r="A607" s="9"/>
      <c r="B607" s="9"/>
      <c r="C607" s="9"/>
      <c r="D607" s="9"/>
      <c r="E607" s="9"/>
      <c r="F607" s="9"/>
      <c r="G607" s="9"/>
      <c r="H607" s="9"/>
      <c r="I607" s="9"/>
      <c r="J607" s="9"/>
      <c r="K607" s="9"/>
    </row>
    <row r="608" spans="1:11" hidden="1" x14ac:dyDescent="0.3">
      <c r="A608" s="9"/>
      <c r="B608" s="9"/>
      <c r="C608" s="9"/>
      <c r="D608" s="9"/>
      <c r="E608" s="9"/>
      <c r="F608" s="9"/>
      <c r="G608" s="9"/>
      <c r="H608" s="9"/>
      <c r="I608" s="9"/>
      <c r="J608" s="9"/>
      <c r="K608" s="9"/>
    </row>
    <row r="609" spans="1:11" hidden="1" x14ac:dyDescent="0.3">
      <c r="A609" s="9"/>
      <c r="B609" s="9"/>
      <c r="C609" s="9"/>
      <c r="D609" s="9"/>
      <c r="E609" s="9"/>
      <c r="F609" s="9"/>
      <c r="G609" s="9"/>
      <c r="H609" s="9"/>
      <c r="I609" s="9"/>
      <c r="J609" s="9"/>
      <c r="K609" s="9"/>
    </row>
    <row r="610" spans="1:11" hidden="1" x14ac:dyDescent="0.3">
      <c r="A610" s="9"/>
      <c r="B610" s="9"/>
      <c r="C610" s="9"/>
      <c r="D610" s="9"/>
      <c r="E610" s="9"/>
      <c r="F610" s="9"/>
      <c r="G610" s="9"/>
      <c r="H610" s="9"/>
      <c r="I610" s="9"/>
      <c r="J610" s="9"/>
      <c r="K610" s="9"/>
    </row>
    <row r="611" spans="1:11" hidden="1" x14ac:dyDescent="0.3">
      <c r="A611" s="9"/>
      <c r="B611" s="9"/>
      <c r="C611" s="9"/>
      <c r="D611" s="9"/>
      <c r="E611" s="9"/>
      <c r="F611" s="9"/>
      <c r="G611" s="9"/>
      <c r="H611" s="9"/>
      <c r="I611" s="9"/>
      <c r="J611" s="9"/>
      <c r="K611" s="9"/>
    </row>
    <row r="612" spans="1:11" hidden="1" x14ac:dyDescent="0.3">
      <c r="A612" s="9"/>
      <c r="B612" s="9"/>
      <c r="C612" s="9"/>
      <c r="D612" s="9"/>
      <c r="E612" s="9"/>
      <c r="F612" s="9"/>
      <c r="G612" s="9"/>
      <c r="H612" s="9"/>
      <c r="I612" s="9"/>
      <c r="J612" s="9"/>
      <c r="K612" s="9"/>
    </row>
    <row r="613" spans="1:11" hidden="1" x14ac:dyDescent="0.3">
      <c r="A613" s="9"/>
      <c r="B613" s="9"/>
      <c r="C613" s="9"/>
      <c r="D613" s="9"/>
      <c r="E613" s="9"/>
      <c r="F613" s="9"/>
      <c r="G613" s="9"/>
      <c r="H613" s="9"/>
      <c r="I613" s="9"/>
      <c r="J613" s="9"/>
      <c r="K613" s="9"/>
    </row>
    <row r="614" spans="1:11" hidden="1" x14ac:dyDescent="0.3">
      <c r="A614" s="9"/>
      <c r="B614" s="9"/>
      <c r="C614" s="9"/>
      <c r="D614" s="9"/>
      <c r="E614" s="9"/>
      <c r="F614" s="9"/>
      <c r="G614" s="9"/>
      <c r="H614" s="9"/>
      <c r="I614" s="9"/>
      <c r="J614" s="9"/>
      <c r="K614" s="9"/>
    </row>
    <row r="615" spans="1:11" hidden="1" x14ac:dyDescent="0.3">
      <c r="A615" s="9"/>
      <c r="B615" s="9"/>
      <c r="C615" s="9"/>
      <c r="D615" s="9"/>
      <c r="E615" s="9"/>
      <c r="F615" s="9"/>
      <c r="G615" s="9"/>
      <c r="H615" s="9"/>
      <c r="I615" s="9"/>
      <c r="J615" s="9"/>
      <c r="K615" s="9"/>
    </row>
    <row r="616" spans="1:11" hidden="1" x14ac:dyDescent="0.3">
      <c r="A616" s="9"/>
      <c r="B616" s="9"/>
      <c r="C616" s="9"/>
      <c r="D616" s="9"/>
      <c r="E616" s="9"/>
      <c r="F616" s="9"/>
      <c r="G616" s="9"/>
      <c r="H616" s="9"/>
      <c r="I616" s="9"/>
      <c r="J616" s="9"/>
      <c r="K616" s="9"/>
    </row>
    <row r="617" spans="1:11" hidden="1" x14ac:dyDescent="0.3">
      <c r="A617" s="9"/>
      <c r="B617" s="9"/>
      <c r="C617" s="9"/>
      <c r="D617" s="9"/>
      <c r="E617" s="9"/>
      <c r="F617" s="9"/>
      <c r="G617" s="9"/>
      <c r="H617" s="9"/>
      <c r="I617" s="9"/>
      <c r="J617" s="9"/>
      <c r="K617" s="9"/>
    </row>
    <row r="618" spans="1:11" hidden="1" x14ac:dyDescent="0.3">
      <c r="A618" s="9"/>
      <c r="B618" s="9"/>
      <c r="C618" s="9"/>
      <c r="D618" s="9"/>
      <c r="E618" s="9"/>
      <c r="F618" s="9"/>
      <c r="G618" s="9"/>
      <c r="H618" s="9"/>
      <c r="I618" s="9"/>
      <c r="J618" s="9"/>
      <c r="K618" s="9"/>
    </row>
    <row r="619" spans="1:11" hidden="1" x14ac:dyDescent="0.3">
      <c r="A619" s="9"/>
      <c r="B619" s="9"/>
      <c r="C619" s="9"/>
      <c r="D619" s="9"/>
      <c r="E619" s="9"/>
      <c r="F619" s="9"/>
      <c r="G619" s="9"/>
      <c r="H619" s="9"/>
      <c r="I619" s="9"/>
      <c r="J619" s="9"/>
      <c r="K619" s="9"/>
    </row>
    <row r="620" spans="1:11" hidden="1" x14ac:dyDescent="0.3">
      <c r="A620" s="9"/>
      <c r="B620" s="9"/>
      <c r="C620" s="9"/>
      <c r="D620" s="9"/>
      <c r="E620" s="9"/>
      <c r="F620" s="9"/>
      <c r="G620" s="9"/>
      <c r="H620" s="9"/>
      <c r="I620" s="9"/>
      <c r="J620" s="9"/>
      <c r="K620" s="9"/>
    </row>
    <row r="621" spans="1:11" hidden="1" x14ac:dyDescent="0.3">
      <c r="A621" s="9"/>
      <c r="B621" s="9"/>
      <c r="C621" s="9"/>
      <c r="D621" s="9"/>
      <c r="E621" s="9"/>
      <c r="F621" s="9"/>
      <c r="G621" s="9"/>
      <c r="H621" s="9"/>
      <c r="I621" s="9"/>
      <c r="J621" s="9"/>
      <c r="K621" s="9"/>
    </row>
    <row r="622" spans="1:11" hidden="1" x14ac:dyDescent="0.3">
      <c r="A622" s="9"/>
      <c r="B622" s="9"/>
      <c r="C622" s="9"/>
      <c r="D622" s="9"/>
      <c r="E622" s="9"/>
      <c r="F622" s="9"/>
      <c r="G622" s="9"/>
      <c r="H622" s="9"/>
      <c r="I622" s="9"/>
      <c r="J622" s="9"/>
      <c r="K622" s="9"/>
    </row>
    <row r="623" spans="1:11" hidden="1" x14ac:dyDescent="0.3">
      <c r="A623" s="9"/>
      <c r="B623" s="9"/>
      <c r="C623" s="9"/>
      <c r="D623" s="9"/>
      <c r="E623" s="9"/>
      <c r="F623" s="9"/>
      <c r="G623" s="9"/>
      <c r="H623" s="9"/>
      <c r="I623" s="9"/>
      <c r="J623" s="9"/>
      <c r="K623" s="9"/>
    </row>
    <row r="624" spans="1:11" hidden="1" x14ac:dyDescent="0.3">
      <c r="A624" s="9"/>
      <c r="B624" s="9"/>
      <c r="C624" s="9"/>
      <c r="D624" s="9"/>
      <c r="E624" s="9"/>
      <c r="F624" s="9"/>
      <c r="G624" s="9"/>
      <c r="H624" s="9"/>
      <c r="I624" s="9"/>
      <c r="J624" s="9"/>
      <c r="K624" s="9"/>
    </row>
    <row r="625" spans="1:11" hidden="1" x14ac:dyDescent="0.3">
      <c r="A625" s="9"/>
      <c r="B625" s="9"/>
      <c r="C625" s="9"/>
      <c r="D625" s="9"/>
      <c r="E625" s="9"/>
      <c r="F625" s="9"/>
      <c r="G625" s="9"/>
      <c r="H625" s="9"/>
      <c r="I625" s="9"/>
      <c r="J625" s="9"/>
      <c r="K625" s="9"/>
    </row>
    <row r="626" spans="1:11" hidden="1" x14ac:dyDescent="0.3">
      <c r="A626" s="9"/>
      <c r="B626" s="9"/>
      <c r="C626" s="9"/>
      <c r="D626" s="9"/>
      <c r="E626" s="9"/>
      <c r="F626" s="9"/>
      <c r="G626" s="9"/>
      <c r="H626" s="9"/>
      <c r="I626" s="9"/>
      <c r="J626" s="9"/>
      <c r="K626" s="9"/>
    </row>
    <row r="627" spans="1:11" hidden="1" x14ac:dyDescent="0.3">
      <c r="A627" s="9"/>
      <c r="B627" s="9"/>
      <c r="C627" s="9"/>
      <c r="D627" s="9"/>
      <c r="E627" s="9"/>
      <c r="F627" s="9"/>
      <c r="G627" s="9"/>
      <c r="H627" s="9"/>
      <c r="I627" s="9"/>
      <c r="J627" s="9"/>
      <c r="K627" s="9"/>
    </row>
    <row r="628" spans="1:11" hidden="1" x14ac:dyDescent="0.3">
      <c r="A628" s="9"/>
      <c r="B628" s="9"/>
      <c r="C628" s="9"/>
      <c r="D628" s="9"/>
      <c r="E628" s="9"/>
      <c r="F628" s="9"/>
      <c r="G628" s="9"/>
      <c r="H628" s="9"/>
      <c r="I628" s="9"/>
      <c r="J628" s="9"/>
      <c r="K628" s="9"/>
    </row>
    <row r="629" spans="1:11" hidden="1" x14ac:dyDescent="0.3">
      <c r="A629" s="9"/>
      <c r="B629" s="9"/>
      <c r="C629" s="9"/>
      <c r="D629" s="9"/>
      <c r="E629" s="9"/>
      <c r="F629" s="9"/>
      <c r="G629" s="9"/>
      <c r="H629" s="9"/>
      <c r="I629" s="9"/>
      <c r="J629" s="9"/>
      <c r="K629" s="9"/>
    </row>
    <row r="630" spans="1:11" hidden="1" x14ac:dyDescent="0.3">
      <c r="A630" s="9"/>
      <c r="B630" s="9"/>
      <c r="C630" s="9"/>
      <c r="D630" s="9"/>
      <c r="E630" s="9"/>
      <c r="F630" s="9"/>
      <c r="G630" s="9"/>
      <c r="H630" s="9"/>
      <c r="I630" s="9"/>
      <c r="J630" s="9"/>
      <c r="K630" s="9"/>
    </row>
    <row r="631" spans="1:11" hidden="1" x14ac:dyDescent="0.3">
      <c r="A631" s="9"/>
      <c r="B631" s="9"/>
      <c r="C631" s="9"/>
      <c r="D631" s="9"/>
      <c r="E631" s="9"/>
      <c r="F631" s="9"/>
      <c r="G631" s="9"/>
      <c r="H631" s="9"/>
      <c r="I631" s="9"/>
      <c r="J631" s="9"/>
      <c r="K631" s="9"/>
    </row>
    <row r="632" spans="1:11" hidden="1" x14ac:dyDescent="0.3">
      <c r="A632" s="9"/>
      <c r="B632" s="9"/>
      <c r="C632" s="9"/>
      <c r="D632" s="9"/>
      <c r="E632" s="9"/>
      <c r="F632" s="9"/>
      <c r="G632" s="9"/>
      <c r="H632" s="9"/>
      <c r="I632" s="9"/>
      <c r="J632" s="9"/>
      <c r="K632" s="9"/>
    </row>
    <row r="633" spans="1:11" hidden="1" x14ac:dyDescent="0.3">
      <c r="A633" s="9"/>
      <c r="B633" s="9"/>
      <c r="C633" s="9"/>
      <c r="D633" s="9"/>
      <c r="E633" s="9"/>
      <c r="F633" s="9"/>
      <c r="G633" s="9"/>
      <c r="H633" s="9"/>
      <c r="I633" s="9"/>
      <c r="J633" s="9"/>
      <c r="K633" s="9"/>
    </row>
    <row r="634" spans="1:11" hidden="1" x14ac:dyDescent="0.3">
      <c r="A634" s="9"/>
      <c r="B634" s="9"/>
      <c r="C634" s="9"/>
      <c r="D634" s="9"/>
      <c r="E634" s="9"/>
      <c r="F634" s="9"/>
      <c r="G634" s="9"/>
      <c r="H634" s="9"/>
      <c r="I634" s="9"/>
      <c r="J634" s="9"/>
      <c r="K634" s="9"/>
    </row>
    <row r="635" spans="1:11" hidden="1" x14ac:dyDescent="0.3">
      <c r="A635" s="9"/>
      <c r="B635" s="9"/>
      <c r="C635" s="9"/>
      <c r="D635" s="9"/>
      <c r="E635" s="9"/>
      <c r="F635" s="9"/>
      <c r="G635" s="9"/>
      <c r="H635" s="9"/>
      <c r="I635" s="9"/>
      <c r="J635" s="9"/>
      <c r="K635" s="9"/>
    </row>
    <row r="636" spans="1:11" hidden="1" x14ac:dyDescent="0.3">
      <c r="A636" s="9"/>
      <c r="B636" s="9"/>
      <c r="C636" s="9"/>
      <c r="D636" s="9"/>
      <c r="E636" s="9"/>
      <c r="F636" s="9"/>
      <c r="G636" s="9"/>
      <c r="H636" s="9"/>
      <c r="I636" s="9"/>
      <c r="J636" s="9"/>
      <c r="K636" s="9"/>
    </row>
    <row r="637" spans="1:11" hidden="1" x14ac:dyDescent="0.3">
      <c r="A637" s="9"/>
      <c r="B637" s="9"/>
      <c r="C637" s="9"/>
      <c r="D637" s="9"/>
      <c r="E637" s="9"/>
      <c r="F637" s="9"/>
      <c r="G637" s="9"/>
      <c r="H637" s="9"/>
      <c r="I637" s="9"/>
      <c r="J637" s="9"/>
      <c r="K637" s="9"/>
    </row>
    <row r="638" spans="1:11" hidden="1" x14ac:dyDescent="0.3">
      <c r="A638" s="9"/>
      <c r="B638" s="9"/>
      <c r="C638" s="9"/>
      <c r="D638" s="9"/>
      <c r="E638" s="9"/>
      <c r="F638" s="9"/>
      <c r="G638" s="9"/>
      <c r="H638" s="9"/>
      <c r="I638" s="9"/>
      <c r="J638" s="9"/>
      <c r="K638" s="9"/>
    </row>
    <row r="639" spans="1:11" hidden="1" x14ac:dyDescent="0.3">
      <c r="A639" s="9"/>
      <c r="B639" s="9"/>
      <c r="C639" s="9"/>
      <c r="D639" s="9"/>
      <c r="E639" s="9"/>
      <c r="F639" s="9"/>
      <c r="G639" s="9"/>
      <c r="H639" s="9"/>
      <c r="I639" s="9"/>
      <c r="J639" s="9"/>
      <c r="K639" s="9"/>
    </row>
    <row r="640" spans="1:11" hidden="1" x14ac:dyDescent="0.3">
      <c r="A640" s="9"/>
      <c r="B640" s="9"/>
      <c r="C640" s="9"/>
      <c r="D640" s="9"/>
      <c r="E640" s="9"/>
      <c r="F640" s="9"/>
      <c r="G640" s="9"/>
      <c r="H640" s="9"/>
      <c r="I640" s="9"/>
      <c r="J640" s="9"/>
      <c r="K640" s="9"/>
    </row>
    <row r="641" spans="1:11" hidden="1" x14ac:dyDescent="0.3">
      <c r="A641" s="9"/>
      <c r="B641" s="9"/>
      <c r="C641" s="9"/>
      <c r="D641" s="9"/>
      <c r="E641" s="9"/>
      <c r="F641" s="9"/>
      <c r="G641" s="9"/>
      <c r="H641" s="9"/>
      <c r="I641" s="9"/>
      <c r="J641" s="9"/>
      <c r="K641" s="9"/>
    </row>
    <row r="642" spans="1:11" hidden="1" x14ac:dyDescent="0.3">
      <c r="A642" s="9"/>
      <c r="B642" s="9"/>
      <c r="C642" s="9"/>
      <c r="D642" s="9"/>
      <c r="E642" s="9"/>
      <c r="F642" s="9"/>
      <c r="G642" s="9"/>
      <c r="H642" s="9"/>
      <c r="I642" s="9"/>
      <c r="J642" s="9"/>
      <c r="K642" s="9"/>
    </row>
    <row r="643" spans="1:11" hidden="1" x14ac:dyDescent="0.3">
      <c r="A643" s="9"/>
      <c r="B643" s="9"/>
      <c r="C643" s="9"/>
      <c r="D643" s="9"/>
      <c r="E643" s="9"/>
      <c r="F643" s="9"/>
      <c r="G643" s="9"/>
      <c r="H643" s="9"/>
      <c r="I643" s="9"/>
      <c r="J643" s="9"/>
      <c r="K643" s="9"/>
    </row>
    <row r="644" spans="1:11" hidden="1" x14ac:dyDescent="0.3">
      <c r="A644" s="9"/>
      <c r="B644" s="9"/>
      <c r="C644" s="9"/>
      <c r="D644" s="9"/>
      <c r="E644" s="9"/>
      <c r="F644" s="9"/>
      <c r="G644" s="9"/>
      <c r="H644" s="9"/>
      <c r="I644" s="9"/>
      <c r="J644" s="9"/>
      <c r="K644" s="9"/>
    </row>
    <row r="645" spans="1:11" hidden="1" x14ac:dyDescent="0.3">
      <c r="A645" s="9"/>
      <c r="B645" s="9"/>
      <c r="C645" s="9"/>
      <c r="D645" s="9"/>
      <c r="E645" s="9"/>
      <c r="F645" s="9"/>
      <c r="G645" s="9"/>
      <c r="H645" s="9"/>
      <c r="I645" s="9"/>
      <c r="J645" s="9"/>
      <c r="K645" s="9"/>
    </row>
    <row r="646" spans="1:11" hidden="1" x14ac:dyDescent="0.3">
      <c r="A646" s="9"/>
      <c r="B646" s="9"/>
      <c r="C646" s="9"/>
      <c r="D646" s="9"/>
      <c r="E646" s="9"/>
      <c r="F646" s="9"/>
      <c r="G646" s="9"/>
      <c r="H646" s="9"/>
      <c r="I646" s="9"/>
      <c r="J646" s="9"/>
      <c r="K646" s="9"/>
    </row>
    <row r="647" spans="1:11" hidden="1" x14ac:dyDescent="0.3">
      <c r="A647" s="9"/>
      <c r="B647" s="9"/>
      <c r="C647" s="9"/>
      <c r="D647" s="9"/>
      <c r="E647" s="9"/>
      <c r="F647" s="9"/>
      <c r="G647" s="9"/>
      <c r="H647" s="9"/>
      <c r="I647" s="9"/>
      <c r="J647" s="9"/>
      <c r="K647" s="9"/>
    </row>
    <row r="648" spans="1:11" hidden="1" x14ac:dyDescent="0.3">
      <c r="A648" s="9"/>
      <c r="B648" s="9"/>
      <c r="C648" s="9"/>
      <c r="D648" s="9"/>
      <c r="E648" s="9"/>
      <c r="F648" s="9"/>
      <c r="G648" s="9"/>
      <c r="H648" s="9"/>
      <c r="I648" s="9"/>
      <c r="J648" s="9"/>
      <c r="K648" s="9"/>
    </row>
    <row r="649" spans="1:11" hidden="1" x14ac:dyDescent="0.3">
      <c r="A649" s="9"/>
      <c r="B649" s="9"/>
      <c r="C649" s="9"/>
      <c r="D649" s="9"/>
      <c r="E649" s="9"/>
      <c r="F649" s="9"/>
      <c r="G649" s="9"/>
      <c r="H649" s="9"/>
      <c r="I649" s="9"/>
      <c r="J649" s="9"/>
      <c r="K649" s="9"/>
    </row>
    <row r="650" spans="1:11" hidden="1" x14ac:dyDescent="0.3">
      <c r="A650" s="9"/>
      <c r="B650" s="9"/>
      <c r="C650" s="9"/>
      <c r="D650" s="9"/>
      <c r="E650" s="9"/>
      <c r="F650" s="9"/>
      <c r="G650" s="9"/>
      <c r="H650" s="9"/>
      <c r="I650" s="9"/>
      <c r="J650" s="9"/>
      <c r="K650" s="9"/>
    </row>
    <row r="651" spans="1:11" hidden="1" x14ac:dyDescent="0.3">
      <c r="A651" s="9"/>
      <c r="B651" s="9"/>
      <c r="C651" s="9"/>
      <c r="D651" s="9"/>
      <c r="E651" s="9"/>
      <c r="F651" s="9"/>
      <c r="G651" s="9"/>
      <c r="H651" s="9"/>
      <c r="I651" s="9"/>
      <c r="J651" s="9"/>
      <c r="K651" s="9"/>
    </row>
    <row r="652" spans="1:11" hidden="1" x14ac:dyDescent="0.3">
      <c r="A652" s="9"/>
      <c r="B652" s="9"/>
      <c r="C652" s="9"/>
      <c r="D652" s="9"/>
      <c r="E652" s="9"/>
      <c r="F652" s="9"/>
      <c r="G652" s="9"/>
      <c r="H652" s="9"/>
      <c r="I652" s="9"/>
      <c r="J652" s="9"/>
      <c r="K652" s="9"/>
    </row>
    <row r="653" spans="1:11" hidden="1" x14ac:dyDescent="0.3">
      <c r="A653" s="9"/>
      <c r="B653" s="9"/>
      <c r="C653" s="9"/>
      <c r="D653" s="9"/>
      <c r="E653" s="9"/>
      <c r="F653" s="9"/>
      <c r="G653" s="9"/>
      <c r="H653" s="9"/>
      <c r="I653" s="9"/>
      <c r="J653" s="9"/>
      <c r="K653" s="9"/>
    </row>
    <row r="654" spans="1:11" hidden="1" x14ac:dyDescent="0.3">
      <c r="A654" s="9"/>
      <c r="B654" s="9"/>
      <c r="C654" s="9"/>
      <c r="D654" s="9"/>
      <c r="E654" s="9"/>
      <c r="F654" s="9"/>
      <c r="G654" s="9"/>
      <c r="H654" s="9"/>
      <c r="I654" s="9"/>
      <c r="J654" s="9"/>
      <c r="K654" s="9"/>
    </row>
    <row r="655" spans="1:11" hidden="1" x14ac:dyDescent="0.3">
      <c r="A655" s="9"/>
      <c r="B655" s="9"/>
      <c r="C655" s="9"/>
      <c r="D655" s="9"/>
      <c r="E655" s="9"/>
      <c r="F655" s="9"/>
      <c r="G655" s="9"/>
      <c r="H655" s="9"/>
      <c r="I655" s="9"/>
      <c r="J655" s="9"/>
      <c r="K655" s="9"/>
    </row>
    <row r="656" spans="1:11" hidden="1" x14ac:dyDescent="0.3">
      <c r="A656" s="9"/>
      <c r="B656" s="9"/>
      <c r="C656" s="9"/>
      <c r="D656" s="9"/>
      <c r="E656" s="9"/>
      <c r="F656" s="9"/>
      <c r="G656" s="9"/>
      <c r="H656" s="9"/>
      <c r="I656" s="9"/>
      <c r="J656" s="9"/>
      <c r="K656" s="9"/>
    </row>
    <row r="657" spans="1:11" hidden="1" x14ac:dyDescent="0.3">
      <c r="A657" s="9"/>
      <c r="B657" s="9"/>
      <c r="C657" s="9"/>
      <c r="D657" s="9"/>
      <c r="E657" s="9"/>
      <c r="F657" s="9"/>
      <c r="G657" s="9"/>
      <c r="H657" s="9"/>
      <c r="I657" s="9"/>
      <c r="J657" s="9"/>
      <c r="K657" s="9"/>
    </row>
    <row r="658" spans="1:11" hidden="1" x14ac:dyDescent="0.3">
      <c r="A658" s="9"/>
      <c r="B658" s="9"/>
      <c r="C658" s="9"/>
      <c r="D658" s="9"/>
      <c r="E658" s="9"/>
      <c r="F658" s="9"/>
      <c r="G658" s="9"/>
      <c r="H658" s="9"/>
      <c r="I658" s="9"/>
      <c r="J658" s="9"/>
      <c r="K658" s="9"/>
    </row>
    <row r="659" spans="1:11" hidden="1" x14ac:dyDescent="0.3">
      <c r="A659" s="9"/>
      <c r="B659" s="9"/>
      <c r="C659" s="9"/>
      <c r="D659" s="9"/>
      <c r="E659" s="9"/>
      <c r="F659" s="9"/>
      <c r="G659" s="9"/>
      <c r="H659" s="9"/>
      <c r="I659" s="9"/>
      <c r="J659" s="9"/>
      <c r="K659" s="9"/>
    </row>
    <row r="660" spans="1:11" hidden="1" x14ac:dyDescent="0.3">
      <c r="A660" s="9"/>
      <c r="B660" s="9"/>
      <c r="C660" s="9"/>
      <c r="D660" s="9"/>
      <c r="E660" s="9"/>
      <c r="F660" s="9"/>
      <c r="G660" s="9"/>
      <c r="H660" s="9"/>
      <c r="I660" s="9"/>
      <c r="J660" s="9"/>
      <c r="K660" s="9"/>
    </row>
    <row r="661" spans="1:11" hidden="1" x14ac:dyDescent="0.3">
      <c r="A661" s="9"/>
      <c r="B661" s="9"/>
      <c r="C661" s="9"/>
      <c r="D661" s="9"/>
      <c r="E661" s="9"/>
      <c r="F661" s="9"/>
      <c r="G661" s="9"/>
      <c r="H661" s="9"/>
      <c r="I661" s="9"/>
      <c r="J661" s="9"/>
      <c r="K661" s="9"/>
    </row>
    <row r="662" spans="1:11" hidden="1" x14ac:dyDescent="0.3">
      <c r="A662" s="9"/>
      <c r="B662" s="9"/>
      <c r="C662" s="9"/>
      <c r="D662" s="9"/>
      <c r="E662" s="9"/>
      <c r="F662" s="9"/>
      <c r="G662" s="9"/>
      <c r="H662" s="9"/>
      <c r="I662" s="9"/>
      <c r="J662" s="9"/>
      <c r="K662" s="9"/>
    </row>
    <row r="663" spans="1:11" hidden="1" x14ac:dyDescent="0.3">
      <c r="A663" s="9"/>
      <c r="B663" s="9"/>
      <c r="C663" s="9"/>
      <c r="D663" s="9"/>
      <c r="E663" s="9"/>
      <c r="F663" s="9"/>
      <c r="G663" s="9"/>
      <c r="H663" s="9"/>
      <c r="I663" s="9"/>
      <c r="J663" s="9"/>
      <c r="K663" s="9"/>
    </row>
    <row r="664" spans="1:11" hidden="1" x14ac:dyDescent="0.3">
      <c r="A664" s="9"/>
      <c r="B664" s="9"/>
      <c r="C664" s="9"/>
      <c r="D664" s="9"/>
      <c r="E664" s="9"/>
      <c r="F664" s="9"/>
      <c r="G664" s="9"/>
      <c r="H664" s="9"/>
      <c r="I664" s="9"/>
      <c r="J664" s="9"/>
      <c r="K664" s="9"/>
    </row>
    <row r="665" spans="1:11" hidden="1" x14ac:dyDescent="0.3">
      <c r="A665" s="9"/>
      <c r="B665" s="9"/>
      <c r="C665" s="9"/>
      <c r="D665" s="9"/>
      <c r="E665" s="9"/>
      <c r="F665" s="9"/>
      <c r="G665" s="9"/>
      <c r="H665" s="9"/>
      <c r="I665" s="9"/>
      <c r="J665" s="9"/>
      <c r="K665" s="9"/>
    </row>
    <row r="666" spans="1:11" hidden="1" x14ac:dyDescent="0.3">
      <c r="A666" s="9"/>
      <c r="B666" s="9"/>
      <c r="C666" s="9"/>
      <c r="D666" s="9"/>
      <c r="E666" s="9"/>
      <c r="F666" s="9"/>
      <c r="G666" s="9"/>
      <c r="H666" s="9"/>
      <c r="I666" s="9"/>
      <c r="J666" s="9"/>
      <c r="K666" s="9"/>
    </row>
    <row r="667" spans="1:11" hidden="1" x14ac:dyDescent="0.3">
      <c r="A667" s="9"/>
      <c r="B667" s="9"/>
      <c r="C667" s="9"/>
      <c r="D667" s="9"/>
      <c r="E667" s="9"/>
      <c r="F667" s="9"/>
      <c r="G667" s="9"/>
      <c r="H667" s="9"/>
      <c r="I667" s="9"/>
      <c r="J667" s="9"/>
      <c r="K667" s="9"/>
    </row>
    <row r="668" spans="1:11" hidden="1" x14ac:dyDescent="0.3">
      <c r="A668" s="9"/>
      <c r="B668" s="9"/>
      <c r="C668" s="9"/>
      <c r="D668" s="9"/>
      <c r="E668" s="9"/>
      <c r="F668" s="9"/>
      <c r="G668" s="9"/>
      <c r="H668" s="9"/>
      <c r="I668" s="9"/>
      <c r="J668" s="9"/>
      <c r="K668" s="9"/>
    </row>
    <row r="669" spans="1:11" hidden="1" x14ac:dyDescent="0.3">
      <c r="A669" s="9"/>
      <c r="B669" s="9"/>
      <c r="C669" s="9"/>
      <c r="D669" s="9"/>
      <c r="E669" s="9"/>
      <c r="F669" s="9"/>
      <c r="G669" s="9"/>
      <c r="H669" s="9"/>
      <c r="I669" s="9"/>
      <c r="J669" s="9"/>
      <c r="K669" s="9"/>
    </row>
    <row r="670" spans="1:11" hidden="1" x14ac:dyDescent="0.3">
      <c r="A670" s="9"/>
      <c r="B670" s="9"/>
      <c r="C670" s="9"/>
      <c r="D670" s="9"/>
      <c r="E670" s="9"/>
      <c r="F670" s="9"/>
      <c r="G670" s="9"/>
      <c r="H670" s="9"/>
      <c r="I670" s="9"/>
      <c r="J670" s="9"/>
      <c r="K670" s="9"/>
    </row>
    <row r="671" spans="1:11" hidden="1" x14ac:dyDescent="0.3">
      <c r="A671" s="9"/>
      <c r="B671" s="9"/>
      <c r="C671" s="9"/>
      <c r="D671" s="9"/>
      <c r="E671" s="9"/>
      <c r="F671" s="9"/>
      <c r="G671" s="9"/>
      <c r="H671" s="9"/>
      <c r="I671" s="9"/>
      <c r="J671" s="9"/>
      <c r="K671" s="9"/>
    </row>
    <row r="672" spans="1:11" hidden="1" x14ac:dyDescent="0.3">
      <c r="A672" s="9"/>
      <c r="B672" s="9"/>
      <c r="C672" s="9"/>
      <c r="D672" s="9"/>
      <c r="E672" s="9"/>
      <c r="F672" s="9"/>
      <c r="G672" s="9"/>
      <c r="H672" s="9"/>
      <c r="I672" s="9"/>
      <c r="J672" s="9"/>
      <c r="K672" s="9"/>
    </row>
    <row r="673" spans="1:11" hidden="1" x14ac:dyDescent="0.3">
      <c r="A673" s="9"/>
      <c r="B673" s="9"/>
      <c r="C673" s="9"/>
      <c r="D673" s="9"/>
      <c r="E673" s="9"/>
      <c r="F673" s="9"/>
      <c r="G673" s="9"/>
      <c r="H673" s="9"/>
      <c r="I673" s="9"/>
      <c r="J673" s="9"/>
      <c r="K673" s="9"/>
    </row>
    <row r="674" spans="1:11" hidden="1" x14ac:dyDescent="0.3">
      <c r="A674" s="9"/>
      <c r="B674" s="9"/>
      <c r="C674" s="9"/>
      <c r="D674" s="9"/>
      <c r="E674" s="9"/>
      <c r="F674" s="9"/>
      <c r="G674" s="9"/>
      <c r="H674" s="9"/>
      <c r="I674" s="9"/>
      <c r="J674" s="9"/>
      <c r="K674" s="9"/>
    </row>
    <row r="675" spans="1:11" hidden="1" x14ac:dyDescent="0.3">
      <c r="A675" s="9"/>
      <c r="B675" s="9"/>
      <c r="C675" s="9"/>
      <c r="D675" s="9"/>
      <c r="E675" s="9"/>
      <c r="F675" s="9"/>
      <c r="G675" s="9"/>
      <c r="H675" s="9"/>
      <c r="I675" s="9"/>
      <c r="J675" s="9"/>
      <c r="K675" s="9"/>
    </row>
    <row r="676" spans="1:11" hidden="1" x14ac:dyDescent="0.3">
      <c r="A676" s="9"/>
      <c r="B676" s="9"/>
      <c r="C676" s="9"/>
      <c r="D676" s="9"/>
      <c r="E676" s="9"/>
      <c r="F676" s="9"/>
      <c r="G676" s="9"/>
      <c r="H676" s="9"/>
      <c r="I676" s="9"/>
      <c r="J676" s="9"/>
      <c r="K676" s="9"/>
    </row>
    <row r="677" spans="1:11" hidden="1" x14ac:dyDescent="0.3">
      <c r="A677" s="9"/>
      <c r="B677" s="9"/>
      <c r="C677" s="9"/>
      <c r="D677" s="9"/>
      <c r="E677" s="9"/>
      <c r="F677" s="9"/>
      <c r="G677" s="9"/>
      <c r="H677" s="9"/>
      <c r="I677" s="9"/>
      <c r="J677" s="9"/>
      <c r="K677" s="9"/>
    </row>
    <row r="678" spans="1:11" hidden="1" x14ac:dyDescent="0.3">
      <c r="A678" s="9"/>
      <c r="B678" s="9"/>
      <c r="C678" s="9"/>
      <c r="D678" s="9"/>
      <c r="E678" s="9"/>
      <c r="F678" s="9"/>
      <c r="G678" s="9"/>
      <c r="H678" s="9"/>
      <c r="I678" s="9"/>
      <c r="J678" s="9"/>
      <c r="K678" s="9"/>
    </row>
    <row r="679" spans="1:11" hidden="1" x14ac:dyDescent="0.3">
      <c r="A679" s="9"/>
      <c r="B679" s="9"/>
      <c r="C679" s="9"/>
      <c r="D679" s="9"/>
      <c r="E679" s="9"/>
      <c r="F679" s="9"/>
      <c r="G679" s="9"/>
      <c r="H679" s="9"/>
      <c r="I679" s="9"/>
      <c r="J679" s="9"/>
      <c r="K679" s="9"/>
    </row>
    <row r="680" spans="1:11" hidden="1" x14ac:dyDescent="0.3">
      <c r="A680" s="9"/>
      <c r="B680" s="9"/>
      <c r="C680" s="9"/>
      <c r="D680" s="9"/>
      <c r="E680" s="9"/>
      <c r="F680" s="9"/>
      <c r="G680" s="9"/>
      <c r="H680" s="9"/>
      <c r="I680" s="9"/>
      <c r="J680" s="9"/>
      <c r="K680" s="9"/>
    </row>
    <row r="681" spans="1:11" hidden="1" x14ac:dyDescent="0.3">
      <c r="A681" s="9"/>
      <c r="B681" s="9"/>
      <c r="C681" s="9"/>
      <c r="D681" s="9"/>
      <c r="E681" s="9"/>
      <c r="F681" s="9"/>
      <c r="G681" s="9"/>
      <c r="H681" s="9"/>
      <c r="I681" s="9"/>
      <c r="J681" s="9"/>
      <c r="K681" s="9"/>
    </row>
    <row r="682" spans="1:11" hidden="1" x14ac:dyDescent="0.3">
      <c r="A682" s="9"/>
      <c r="B682" s="9"/>
      <c r="C682" s="9"/>
      <c r="D682" s="9"/>
      <c r="E682" s="9"/>
      <c r="F682" s="9"/>
      <c r="G682" s="9"/>
      <c r="H682" s="9"/>
      <c r="I682" s="9"/>
      <c r="J682" s="9"/>
      <c r="K682" s="9"/>
    </row>
    <row r="683" spans="1:11" hidden="1" x14ac:dyDescent="0.3">
      <c r="A683" s="9"/>
      <c r="B683" s="9"/>
      <c r="C683" s="9"/>
      <c r="D683" s="9"/>
      <c r="E683" s="9"/>
      <c r="F683" s="9"/>
      <c r="G683" s="9"/>
      <c r="H683" s="9"/>
      <c r="I683" s="9"/>
      <c r="J683" s="9"/>
      <c r="K683" s="9"/>
    </row>
    <row r="684" spans="1:11" hidden="1" x14ac:dyDescent="0.3">
      <c r="A684" s="9"/>
      <c r="B684" s="9"/>
      <c r="C684" s="9"/>
      <c r="D684" s="9"/>
      <c r="E684" s="9"/>
      <c r="F684" s="9"/>
      <c r="G684" s="9"/>
      <c r="H684" s="9"/>
      <c r="I684" s="9"/>
      <c r="J684" s="9"/>
      <c r="K684" s="9"/>
    </row>
    <row r="685" spans="1:11" hidden="1" x14ac:dyDescent="0.3">
      <c r="A685" s="9"/>
      <c r="B685" s="9"/>
      <c r="C685" s="9"/>
      <c r="D685" s="9"/>
      <c r="E685" s="9"/>
      <c r="F685" s="9"/>
      <c r="G685" s="9"/>
      <c r="H685" s="9"/>
      <c r="I685" s="9"/>
      <c r="J685" s="9"/>
      <c r="K685" s="9"/>
    </row>
    <row r="686" spans="1:11" hidden="1" x14ac:dyDescent="0.3">
      <c r="A686" s="9"/>
      <c r="B686" s="9"/>
      <c r="C686" s="9"/>
      <c r="D686" s="9"/>
      <c r="E686" s="9"/>
      <c r="F686" s="9"/>
      <c r="G686" s="9"/>
      <c r="H686" s="9"/>
      <c r="I686" s="9"/>
      <c r="J686" s="9"/>
      <c r="K686" s="9"/>
    </row>
    <row r="687" spans="1:11" hidden="1" x14ac:dyDescent="0.3">
      <c r="A687" s="9"/>
      <c r="B687" s="9"/>
      <c r="C687" s="9"/>
      <c r="D687" s="9"/>
      <c r="E687" s="9"/>
      <c r="F687" s="9"/>
      <c r="G687" s="9"/>
      <c r="H687" s="9"/>
      <c r="I687" s="9"/>
      <c r="J687" s="9"/>
      <c r="K687" s="9"/>
    </row>
    <row r="688" spans="1:11" hidden="1" x14ac:dyDescent="0.3">
      <c r="A688" s="9"/>
      <c r="B688" s="9"/>
      <c r="C688" s="9"/>
      <c r="D688" s="9"/>
      <c r="E688" s="9"/>
      <c r="F688" s="9"/>
      <c r="G688" s="9"/>
      <c r="H688" s="9"/>
      <c r="I688" s="9"/>
      <c r="J688" s="9"/>
      <c r="K688" s="9"/>
    </row>
    <row r="689" spans="1:11" hidden="1" x14ac:dyDescent="0.3">
      <c r="A689" s="9"/>
      <c r="B689" s="9"/>
      <c r="C689" s="9"/>
      <c r="D689" s="9"/>
      <c r="E689" s="9"/>
      <c r="F689" s="9"/>
      <c r="G689" s="9"/>
      <c r="H689" s="9"/>
      <c r="I689" s="9"/>
      <c r="J689" s="9"/>
      <c r="K689" s="9"/>
    </row>
    <row r="690" spans="1:11" hidden="1" x14ac:dyDescent="0.3">
      <c r="A690" s="9"/>
      <c r="B690" s="9"/>
      <c r="C690" s="9"/>
      <c r="D690" s="9"/>
      <c r="E690" s="9"/>
      <c r="F690" s="9"/>
      <c r="G690" s="9"/>
      <c r="H690" s="9"/>
      <c r="I690" s="9"/>
      <c r="J690" s="9"/>
      <c r="K690" s="9"/>
    </row>
    <row r="691" spans="1:11" hidden="1" x14ac:dyDescent="0.3">
      <c r="A691" s="9"/>
      <c r="B691" s="9"/>
      <c r="C691" s="9"/>
      <c r="D691" s="9"/>
      <c r="E691" s="9"/>
      <c r="F691" s="9"/>
      <c r="G691" s="9"/>
      <c r="H691" s="9"/>
      <c r="I691" s="9"/>
      <c r="J691" s="9"/>
      <c r="K691" s="9"/>
    </row>
    <row r="692" spans="1:11" hidden="1" x14ac:dyDescent="0.3">
      <c r="A692" s="9"/>
      <c r="B692" s="9"/>
      <c r="C692" s="9"/>
      <c r="D692" s="9"/>
      <c r="E692" s="9"/>
      <c r="F692" s="9"/>
      <c r="G692" s="9"/>
      <c r="H692" s="9"/>
      <c r="I692" s="9"/>
      <c r="J692" s="9"/>
      <c r="K692" s="9"/>
    </row>
    <row r="693" spans="1:11" hidden="1" x14ac:dyDescent="0.3">
      <c r="A693" s="9"/>
      <c r="B693" s="9"/>
      <c r="C693" s="9"/>
      <c r="D693" s="9"/>
      <c r="E693" s="9"/>
      <c r="F693" s="9"/>
      <c r="G693" s="9"/>
      <c r="H693" s="9"/>
      <c r="I693" s="9"/>
      <c r="J693" s="9"/>
      <c r="K693" s="9"/>
    </row>
    <row r="694" spans="1:11" hidden="1" x14ac:dyDescent="0.3">
      <c r="A694" s="9"/>
      <c r="B694" s="9"/>
      <c r="C694" s="9"/>
      <c r="D694" s="9"/>
      <c r="E694" s="9"/>
      <c r="F694" s="9"/>
      <c r="G694" s="9"/>
      <c r="H694" s="9"/>
      <c r="I694" s="9"/>
      <c r="J694" s="9"/>
      <c r="K694" s="9"/>
    </row>
    <row r="695" spans="1:11" hidden="1" x14ac:dyDescent="0.3">
      <c r="A695" s="9"/>
      <c r="B695" s="9"/>
      <c r="C695" s="9"/>
      <c r="D695" s="9"/>
      <c r="E695" s="9"/>
      <c r="F695" s="9"/>
      <c r="G695" s="9"/>
      <c r="H695" s="9"/>
      <c r="I695" s="9"/>
      <c r="J695" s="9"/>
      <c r="K695" s="9"/>
    </row>
    <row r="696" spans="1:11" hidden="1" x14ac:dyDescent="0.3">
      <c r="A696" s="9"/>
      <c r="B696" s="9"/>
      <c r="C696" s="9"/>
      <c r="D696" s="9"/>
      <c r="E696" s="9"/>
      <c r="F696" s="9"/>
      <c r="G696" s="9"/>
      <c r="H696" s="9"/>
      <c r="I696" s="9"/>
      <c r="J696" s="9"/>
      <c r="K696" s="9"/>
    </row>
    <row r="697" spans="1:11" hidden="1" x14ac:dyDescent="0.3">
      <c r="A697" s="9"/>
      <c r="B697" s="9"/>
      <c r="C697" s="9"/>
      <c r="D697" s="9"/>
      <c r="E697" s="9"/>
      <c r="F697" s="9"/>
      <c r="G697" s="9"/>
      <c r="H697" s="9"/>
      <c r="I697" s="9"/>
      <c r="J697" s="9"/>
      <c r="K697" s="9"/>
    </row>
    <row r="698" spans="1:11" hidden="1" x14ac:dyDescent="0.3">
      <c r="A698" s="9"/>
      <c r="B698" s="9"/>
      <c r="C698" s="9"/>
      <c r="D698" s="9"/>
      <c r="E698" s="9"/>
      <c r="F698" s="9"/>
      <c r="G698" s="9"/>
      <c r="H698" s="9"/>
      <c r="I698" s="9"/>
      <c r="J698" s="9"/>
      <c r="K698" s="9"/>
    </row>
    <row r="699" spans="1:11" hidden="1" x14ac:dyDescent="0.3">
      <c r="A699" s="9"/>
      <c r="B699" s="9"/>
      <c r="C699" s="9"/>
      <c r="D699" s="9"/>
      <c r="E699" s="9"/>
      <c r="F699" s="9"/>
      <c r="G699" s="9"/>
      <c r="H699" s="9"/>
      <c r="I699" s="9"/>
      <c r="J699" s="9"/>
      <c r="K699" s="9"/>
    </row>
    <row r="700" spans="1:11" hidden="1" x14ac:dyDescent="0.3">
      <c r="A700" s="9"/>
      <c r="B700" s="9"/>
      <c r="C700" s="9"/>
      <c r="D700" s="9"/>
      <c r="E700" s="9"/>
      <c r="F700" s="9"/>
      <c r="G700" s="9"/>
      <c r="H700" s="9"/>
      <c r="I700" s="9"/>
      <c r="J700" s="9"/>
      <c r="K700" s="9"/>
    </row>
    <row r="701" spans="1:11" hidden="1" x14ac:dyDescent="0.3">
      <c r="A701" s="9"/>
      <c r="B701" s="9"/>
      <c r="C701" s="9"/>
      <c r="D701" s="9"/>
      <c r="E701" s="9"/>
      <c r="F701" s="9"/>
      <c r="G701" s="9"/>
      <c r="H701" s="9"/>
      <c r="I701" s="9"/>
      <c r="J701" s="9"/>
      <c r="K701" s="9"/>
    </row>
    <row r="702" spans="1:11" hidden="1" x14ac:dyDescent="0.3">
      <c r="A702" s="9"/>
      <c r="B702" s="9"/>
      <c r="C702" s="9"/>
      <c r="D702" s="9"/>
      <c r="E702" s="9"/>
      <c r="F702" s="9"/>
      <c r="G702" s="9"/>
      <c r="H702" s="9"/>
      <c r="I702" s="9"/>
      <c r="J702" s="9"/>
      <c r="K702" s="9"/>
    </row>
    <row r="703" spans="1:11" hidden="1" x14ac:dyDescent="0.3">
      <c r="A703" s="9"/>
      <c r="B703" s="9"/>
      <c r="C703" s="9"/>
      <c r="D703" s="9"/>
      <c r="E703" s="9"/>
      <c r="F703" s="9"/>
      <c r="G703" s="9"/>
      <c r="H703" s="9"/>
      <c r="I703" s="9"/>
      <c r="J703" s="9"/>
      <c r="K703" s="9"/>
    </row>
    <row r="704" spans="1:11" hidden="1" x14ac:dyDescent="0.3">
      <c r="A704" s="9"/>
      <c r="B704" s="9"/>
      <c r="C704" s="9"/>
      <c r="D704" s="9"/>
      <c r="E704" s="9"/>
      <c r="F704" s="9"/>
      <c r="G704" s="9"/>
      <c r="H704" s="9"/>
      <c r="I704" s="9"/>
      <c r="J704" s="9"/>
      <c r="K704" s="9"/>
    </row>
    <row r="705" spans="1:11" hidden="1" x14ac:dyDescent="0.3">
      <c r="A705" s="9"/>
      <c r="B705" s="9"/>
      <c r="C705" s="9"/>
      <c r="D705" s="9"/>
      <c r="E705" s="9"/>
      <c r="F705" s="9"/>
      <c r="G705" s="9"/>
      <c r="H705" s="9"/>
      <c r="I705" s="9"/>
      <c r="J705" s="9"/>
      <c r="K705" s="9"/>
    </row>
    <row r="706" spans="1:11" hidden="1" x14ac:dyDescent="0.3">
      <c r="A706" s="9"/>
      <c r="B706" s="9"/>
      <c r="C706" s="9"/>
      <c r="D706" s="9"/>
      <c r="E706" s="9"/>
      <c r="F706" s="9"/>
      <c r="G706" s="9"/>
      <c r="H706" s="9"/>
      <c r="I706" s="9"/>
      <c r="J706" s="9"/>
      <c r="K706" s="9"/>
    </row>
    <row r="707" spans="1:11" hidden="1" x14ac:dyDescent="0.3">
      <c r="A707" s="9"/>
      <c r="B707" s="9"/>
      <c r="C707" s="9"/>
      <c r="D707" s="9"/>
      <c r="E707" s="9"/>
      <c r="F707" s="9"/>
      <c r="G707" s="9"/>
      <c r="H707" s="9"/>
      <c r="I707" s="9"/>
      <c r="J707" s="9"/>
      <c r="K707" s="9"/>
    </row>
    <row r="708" spans="1:11" hidden="1" x14ac:dyDescent="0.3">
      <c r="A708" s="9"/>
      <c r="B708" s="9"/>
      <c r="C708" s="9"/>
      <c r="D708" s="9"/>
      <c r="E708" s="9"/>
      <c r="F708" s="9"/>
      <c r="G708" s="9"/>
      <c r="H708" s="9"/>
      <c r="I708" s="9"/>
      <c r="J708" s="9"/>
      <c r="K708" s="9"/>
    </row>
    <row r="709" spans="1:11" hidden="1" x14ac:dyDescent="0.3">
      <c r="A709" s="9"/>
      <c r="B709" s="9"/>
      <c r="C709" s="9"/>
      <c r="D709" s="9"/>
      <c r="E709" s="9"/>
      <c r="F709" s="9"/>
      <c r="G709" s="9"/>
      <c r="H709" s="9"/>
      <c r="I709" s="9"/>
      <c r="J709" s="9"/>
      <c r="K709" s="9"/>
    </row>
    <row r="710" spans="1:11" hidden="1" x14ac:dyDescent="0.3">
      <c r="A710" s="9"/>
      <c r="B710" s="9"/>
      <c r="C710" s="9"/>
      <c r="D710" s="9"/>
      <c r="E710" s="9"/>
      <c r="F710" s="9"/>
      <c r="G710" s="9"/>
      <c r="H710" s="9"/>
      <c r="I710" s="9"/>
      <c r="J710" s="9"/>
      <c r="K710" s="9"/>
    </row>
    <row r="711" spans="1:11" hidden="1" x14ac:dyDescent="0.3">
      <c r="A711" s="9"/>
      <c r="B711" s="9"/>
      <c r="C711" s="9"/>
      <c r="D711" s="9"/>
      <c r="E711" s="9"/>
      <c r="F711" s="9"/>
      <c r="G711" s="9"/>
      <c r="H711" s="9"/>
      <c r="I711" s="9"/>
      <c r="J711" s="9"/>
      <c r="K711" s="9"/>
    </row>
    <row r="712" spans="1:11" hidden="1" x14ac:dyDescent="0.3">
      <c r="A712" s="9"/>
      <c r="B712" s="9"/>
      <c r="C712" s="9"/>
      <c r="D712" s="9"/>
      <c r="E712" s="9"/>
      <c r="F712" s="9"/>
      <c r="G712" s="9"/>
      <c r="H712" s="9"/>
      <c r="I712" s="9"/>
      <c r="J712" s="9"/>
      <c r="K712" s="9"/>
    </row>
    <row r="713" spans="1:11" hidden="1" x14ac:dyDescent="0.3">
      <c r="A713" s="9"/>
      <c r="B713" s="9"/>
      <c r="C713" s="9"/>
      <c r="D713" s="9"/>
      <c r="E713" s="9"/>
      <c r="F713" s="9"/>
      <c r="G713" s="9"/>
      <c r="H713" s="9"/>
      <c r="I713" s="9"/>
      <c r="J713" s="9"/>
      <c r="K713" s="9"/>
    </row>
    <row r="714" spans="1:11" hidden="1" x14ac:dyDescent="0.3">
      <c r="A714" s="9"/>
      <c r="B714" s="9"/>
      <c r="C714" s="9"/>
      <c r="D714" s="9"/>
      <c r="E714" s="9"/>
      <c r="F714" s="9"/>
      <c r="G714" s="9"/>
      <c r="H714" s="9"/>
      <c r="I714" s="9"/>
      <c r="J714" s="9"/>
      <c r="K714" s="9"/>
    </row>
    <row r="715" spans="1:11" hidden="1" x14ac:dyDescent="0.3">
      <c r="A715" s="9"/>
      <c r="B715" s="9"/>
      <c r="C715" s="9"/>
      <c r="D715" s="9"/>
      <c r="E715" s="9"/>
      <c r="F715" s="9"/>
      <c r="G715" s="9"/>
      <c r="H715" s="9"/>
      <c r="I715" s="9"/>
      <c r="J715" s="9"/>
      <c r="K715" s="9"/>
    </row>
    <row r="716" spans="1:11" hidden="1" x14ac:dyDescent="0.3">
      <c r="A716" s="9"/>
      <c r="B716" s="9"/>
      <c r="C716" s="9"/>
      <c r="D716" s="9"/>
      <c r="E716" s="9"/>
      <c r="F716" s="9"/>
      <c r="G716" s="9"/>
      <c r="H716" s="9"/>
      <c r="I716" s="9"/>
      <c r="J716" s="9"/>
      <c r="K716" s="9"/>
    </row>
    <row r="717" spans="1:11" hidden="1" x14ac:dyDescent="0.3">
      <c r="A717" s="9"/>
      <c r="B717" s="9"/>
      <c r="C717" s="9"/>
      <c r="D717" s="9"/>
      <c r="E717" s="9"/>
      <c r="F717" s="9"/>
      <c r="G717" s="9"/>
      <c r="H717" s="9"/>
      <c r="I717" s="9"/>
      <c r="J717" s="9"/>
      <c r="K717" s="9"/>
    </row>
    <row r="718" spans="1:11" hidden="1" x14ac:dyDescent="0.3">
      <c r="A718" s="9"/>
      <c r="B718" s="9"/>
      <c r="C718" s="9"/>
      <c r="D718" s="9"/>
      <c r="E718" s="9"/>
      <c r="F718" s="9"/>
      <c r="G718" s="9"/>
      <c r="H718" s="9"/>
      <c r="I718" s="9"/>
      <c r="J718" s="9"/>
      <c r="K718" s="9"/>
    </row>
    <row r="719" spans="1:11" hidden="1" x14ac:dyDescent="0.3">
      <c r="A719" s="9"/>
      <c r="B719" s="9"/>
      <c r="C719" s="9"/>
      <c r="D719" s="9"/>
      <c r="E719" s="9"/>
      <c r="F719" s="9"/>
      <c r="G719" s="9"/>
      <c r="H719" s="9"/>
      <c r="I719" s="9"/>
      <c r="J719" s="9"/>
      <c r="K719" s="9"/>
    </row>
    <row r="720" spans="1:11" hidden="1" x14ac:dyDescent="0.3">
      <c r="A720" s="9"/>
      <c r="B720" s="9"/>
      <c r="C720" s="9"/>
      <c r="D720" s="9"/>
      <c r="E720" s="9"/>
      <c r="F720" s="9"/>
      <c r="G720" s="9"/>
      <c r="H720" s="9"/>
      <c r="I720" s="9"/>
      <c r="J720" s="9"/>
      <c r="K720" s="9"/>
    </row>
    <row r="721" spans="1:11" hidden="1" x14ac:dyDescent="0.3">
      <c r="A721" s="9"/>
      <c r="B721" s="9"/>
      <c r="C721" s="9"/>
      <c r="D721" s="9"/>
      <c r="E721" s="9"/>
      <c r="F721" s="9"/>
      <c r="G721" s="9"/>
      <c r="H721" s="9"/>
      <c r="I721" s="9"/>
      <c r="J721" s="9"/>
      <c r="K721" s="9"/>
    </row>
    <row r="722" spans="1:11" hidden="1" x14ac:dyDescent="0.3">
      <c r="A722" s="9"/>
      <c r="B722" s="9"/>
      <c r="C722" s="9"/>
      <c r="D722" s="9"/>
      <c r="E722" s="9"/>
      <c r="F722" s="9"/>
      <c r="G722" s="9"/>
      <c r="H722" s="9"/>
      <c r="I722" s="9"/>
      <c r="J722" s="9"/>
      <c r="K722" s="9"/>
    </row>
    <row r="723" spans="1:11" hidden="1" x14ac:dyDescent="0.3">
      <c r="A723" s="9"/>
      <c r="B723" s="9"/>
      <c r="C723" s="9"/>
      <c r="D723" s="9"/>
      <c r="E723" s="9"/>
      <c r="F723" s="9"/>
      <c r="G723" s="9"/>
      <c r="H723" s="9"/>
      <c r="I723" s="9"/>
      <c r="J723" s="9"/>
      <c r="K723" s="9"/>
    </row>
    <row r="724" spans="1:11" hidden="1" x14ac:dyDescent="0.3">
      <c r="A724" s="9"/>
      <c r="B724" s="9"/>
      <c r="C724" s="9"/>
      <c r="D724" s="9"/>
      <c r="E724" s="9"/>
      <c r="F724" s="9"/>
      <c r="G724" s="9"/>
      <c r="H724" s="9"/>
      <c r="I724" s="9"/>
      <c r="J724" s="9"/>
      <c r="K724" s="9"/>
    </row>
    <row r="725" spans="1:11" hidden="1" x14ac:dyDescent="0.3">
      <c r="A725" s="9"/>
      <c r="B725" s="9"/>
      <c r="C725" s="9"/>
      <c r="D725" s="9"/>
      <c r="E725" s="9"/>
      <c r="F725" s="9"/>
      <c r="G725" s="9"/>
      <c r="H725" s="9"/>
      <c r="I725" s="9"/>
      <c r="J725" s="9"/>
      <c r="K725" s="9"/>
    </row>
    <row r="726" spans="1:11" hidden="1" x14ac:dyDescent="0.3">
      <c r="A726" s="9"/>
      <c r="B726" s="9"/>
      <c r="C726" s="9"/>
      <c r="D726" s="9"/>
      <c r="E726" s="9"/>
      <c r="F726" s="9"/>
      <c r="G726" s="9"/>
      <c r="H726" s="9"/>
      <c r="I726" s="9"/>
      <c r="J726" s="9"/>
      <c r="K726" s="9"/>
    </row>
    <row r="727" spans="1:11" hidden="1" x14ac:dyDescent="0.3">
      <c r="A727" s="9"/>
      <c r="B727" s="9"/>
      <c r="C727" s="9"/>
      <c r="D727" s="9"/>
      <c r="E727" s="9"/>
      <c r="F727" s="9"/>
      <c r="G727" s="9"/>
      <c r="H727" s="9"/>
      <c r="I727" s="9"/>
      <c r="J727" s="9"/>
      <c r="K727" s="9"/>
    </row>
    <row r="728" spans="1:11" hidden="1" x14ac:dyDescent="0.3">
      <c r="A728" s="9"/>
      <c r="B728" s="9"/>
      <c r="C728" s="9"/>
      <c r="D728" s="9"/>
      <c r="E728" s="9"/>
      <c r="F728" s="9"/>
      <c r="G728" s="9"/>
      <c r="H728" s="9"/>
      <c r="I728" s="9"/>
      <c r="J728" s="9"/>
      <c r="K728" s="9"/>
    </row>
    <row r="729" spans="1:11" hidden="1" x14ac:dyDescent="0.3">
      <c r="A729" s="9"/>
      <c r="B729" s="9"/>
      <c r="C729" s="9"/>
      <c r="D729" s="9"/>
      <c r="E729" s="9"/>
      <c r="F729" s="9"/>
      <c r="G729" s="9"/>
      <c r="H729" s="9"/>
      <c r="I729" s="9"/>
      <c r="J729" s="9"/>
      <c r="K729" s="9"/>
    </row>
    <row r="730" spans="1:11" hidden="1" x14ac:dyDescent="0.3">
      <c r="A730" s="9"/>
      <c r="B730" s="9"/>
      <c r="C730" s="9"/>
      <c r="D730" s="9"/>
      <c r="E730" s="9"/>
      <c r="F730" s="9"/>
      <c r="G730" s="9"/>
      <c r="H730" s="9"/>
      <c r="I730" s="9"/>
      <c r="J730" s="9"/>
      <c r="K730" s="9"/>
    </row>
    <row r="731" spans="1:11" hidden="1" x14ac:dyDescent="0.3">
      <c r="A731" s="9"/>
      <c r="B731" s="9"/>
      <c r="C731" s="9"/>
      <c r="D731" s="9"/>
      <c r="E731" s="9"/>
      <c r="F731" s="9"/>
      <c r="G731" s="9"/>
      <c r="H731" s="9"/>
      <c r="I731" s="9"/>
      <c r="J731" s="9"/>
      <c r="K731" s="9"/>
    </row>
    <row r="732" spans="1:11" hidden="1" x14ac:dyDescent="0.3">
      <c r="A732" s="9"/>
      <c r="B732" s="9"/>
      <c r="C732" s="9"/>
      <c r="D732" s="9"/>
      <c r="E732" s="9"/>
      <c r="F732" s="9"/>
      <c r="G732" s="9"/>
      <c r="H732" s="9"/>
      <c r="I732" s="9"/>
      <c r="J732" s="9"/>
      <c r="K732" s="9"/>
    </row>
    <row r="733" spans="1:11" hidden="1" x14ac:dyDescent="0.3">
      <c r="A733" s="9"/>
      <c r="B733" s="9"/>
      <c r="C733" s="9"/>
      <c r="D733" s="9"/>
      <c r="E733" s="9"/>
      <c r="F733" s="9"/>
      <c r="G733" s="9"/>
      <c r="H733" s="9"/>
      <c r="I733" s="9"/>
      <c r="J733" s="9"/>
      <c r="K733" s="9"/>
    </row>
    <row r="734" spans="1:11" hidden="1" x14ac:dyDescent="0.3">
      <c r="A734" s="9"/>
      <c r="B734" s="9"/>
      <c r="C734" s="9"/>
      <c r="D734" s="9"/>
      <c r="E734" s="9"/>
      <c r="F734" s="9"/>
      <c r="G734" s="9"/>
      <c r="H734" s="9"/>
      <c r="I734" s="9"/>
      <c r="J734" s="9"/>
      <c r="K734" s="9"/>
    </row>
    <row r="735" spans="1:11" hidden="1" x14ac:dyDescent="0.3">
      <c r="A735" s="9"/>
      <c r="B735" s="9"/>
      <c r="C735" s="9"/>
      <c r="D735" s="9"/>
      <c r="E735" s="9"/>
      <c r="F735" s="9"/>
      <c r="G735" s="9"/>
      <c r="H735" s="9"/>
      <c r="I735" s="9"/>
      <c r="J735" s="9"/>
      <c r="K735" s="9"/>
    </row>
    <row r="736" spans="1:11" hidden="1" x14ac:dyDescent="0.3">
      <c r="A736" s="9"/>
      <c r="B736" s="9"/>
      <c r="C736" s="9"/>
      <c r="D736" s="9"/>
      <c r="E736" s="9"/>
      <c r="F736" s="9"/>
      <c r="G736" s="9"/>
      <c r="H736" s="9"/>
      <c r="I736" s="9"/>
      <c r="J736" s="9"/>
      <c r="K736" s="9"/>
    </row>
    <row r="737" spans="1:11" hidden="1" x14ac:dyDescent="0.3">
      <c r="A737" s="9"/>
      <c r="B737" s="9"/>
      <c r="C737" s="9"/>
      <c r="D737" s="9"/>
      <c r="E737" s="9"/>
      <c r="F737" s="9"/>
      <c r="G737" s="9"/>
      <c r="H737" s="9"/>
      <c r="I737" s="9"/>
      <c r="J737" s="9"/>
      <c r="K737" s="9"/>
    </row>
    <row r="738" spans="1:11" hidden="1" x14ac:dyDescent="0.3">
      <c r="A738" s="9"/>
      <c r="B738" s="9"/>
      <c r="C738" s="9"/>
      <c r="D738" s="9"/>
      <c r="E738" s="9"/>
      <c r="F738" s="9"/>
      <c r="G738" s="9"/>
      <c r="H738" s="9"/>
      <c r="I738" s="9"/>
      <c r="J738" s="9"/>
      <c r="K738" s="9"/>
    </row>
    <row r="739" spans="1:11" hidden="1" x14ac:dyDescent="0.3">
      <c r="A739" s="9"/>
      <c r="B739" s="9"/>
      <c r="C739" s="9"/>
      <c r="D739" s="9"/>
      <c r="E739" s="9"/>
      <c r="F739" s="9"/>
      <c r="G739" s="9"/>
      <c r="H739" s="9"/>
      <c r="I739" s="9"/>
      <c r="J739" s="9"/>
      <c r="K739" s="9"/>
    </row>
    <row r="740" spans="1:11" hidden="1" x14ac:dyDescent="0.3">
      <c r="A740" s="9"/>
      <c r="B740" s="9"/>
      <c r="C740" s="9"/>
      <c r="D740" s="9"/>
      <c r="E740" s="9"/>
      <c r="F740" s="9"/>
      <c r="G740" s="9"/>
      <c r="H740" s="9"/>
      <c r="I740" s="9"/>
      <c r="J740" s="9"/>
      <c r="K740" s="9"/>
    </row>
    <row r="741" spans="1:11" hidden="1" x14ac:dyDescent="0.3">
      <c r="A741" s="9"/>
      <c r="B741" s="9"/>
      <c r="C741" s="9"/>
      <c r="D741" s="9"/>
      <c r="E741" s="9"/>
      <c r="F741" s="9"/>
      <c r="G741" s="9"/>
      <c r="H741" s="9"/>
      <c r="I741" s="9"/>
      <c r="J741" s="9"/>
      <c r="K741" s="9"/>
    </row>
    <row r="742" spans="1:11" hidden="1" x14ac:dyDescent="0.3">
      <c r="A742" s="9"/>
      <c r="B742" s="9"/>
      <c r="C742" s="9"/>
      <c r="D742" s="9"/>
      <c r="E742" s="9"/>
      <c r="F742" s="9"/>
      <c r="G742" s="9"/>
      <c r="H742" s="9"/>
      <c r="I742" s="9"/>
      <c r="J742" s="9"/>
      <c r="K742" s="9"/>
    </row>
    <row r="743" spans="1:11" hidden="1" x14ac:dyDescent="0.3">
      <c r="A743" s="9"/>
      <c r="B743" s="9"/>
      <c r="C743" s="9"/>
      <c r="D743" s="9"/>
      <c r="E743" s="9"/>
      <c r="F743" s="9"/>
      <c r="G743" s="9"/>
      <c r="H743" s="9"/>
      <c r="I743" s="9"/>
      <c r="J743" s="9"/>
      <c r="K743" s="9"/>
    </row>
    <row r="744" spans="1:11" hidden="1" x14ac:dyDescent="0.3">
      <c r="A744" s="9"/>
      <c r="B744" s="9"/>
      <c r="C744" s="9"/>
      <c r="D744" s="9"/>
      <c r="E744" s="9"/>
      <c r="F744" s="9"/>
      <c r="G744" s="9"/>
      <c r="H744" s="9"/>
      <c r="I744" s="9"/>
      <c r="J744" s="9"/>
      <c r="K744" s="9"/>
    </row>
    <row r="745" spans="1:11" hidden="1" x14ac:dyDescent="0.3">
      <c r="A745" s="9"/>
      <c r="B745" s="9"/>
      <c r="C745" s="9"/>
      <c r="D745" s="9"/>
      <c r="E745" s="9"/>
      <c r="F745" s="9"/>
      <c r="G745" s="9"/>
      <c r="H745" s="9"/>
      <c r="I745" s="9"/>
      <c r="J745" s="9"/>
      <c r="K745" s="9"/>
    </row>
    <row r="746" spans="1:11" hidden="1" x14ac:dyDescent="0.3">
      <c r="A746" s="9"/>
      <c r="B746" s="9"/>
      <c r="C746" s="9"/>
      <c r="D746" s="9"/>
      <c r="E746" s="9"/>
      <c r="F746" s="9"/>
      <c r="G746" s="9"/>
      <c r="H746" s="9"/>
      <c r="I746" s="9"/>
      <c r="J746" s="9"/>
      <c r="K746" s="9"/>
    </row>
    <row r="747" spans="1:11" hidden="1" x14ac:dyDescent="0.3">
      <c r="A747" s="9"/>
      <c r="B747" s="9"/>
      <c r="C747" s="9"/>
      <c r="D747" s="9"/>
      <c r="E747" s="9"/>
      <c r="F747" s="9"/>
      <c r="G747" s="9"/>
      <c r="H747" s="9"/>
      <c r="I747" s="9"/>
      <c r="J747" s="9"/>
      <c r="K747" s="9"/>
    </row>
    <row r="748" spans="1:11" hidden="1" x14ac:dyDescent="0.3">
      <c r="A748" s="9"/>
      <c r="B748" s="9"/>
      <c r="C748" s="9"/>
      <c r="D748" s="9"/>
      <c r="E748" s="9"/>
      <c r="F748" s="9"/>
      <c r="G748" s="9"/>
      <c r="H748" s="9"/>
      <c r="I748" s="9"/>
      <c r="J748" s="9"/>
      <c r="K748" s="9"/>
    </row>
    <row r="749" spans="1:11" hidden="1" x14ac:dyDescent="0.3">
      <c r="A749" s="9"/>
      <c r="B749" s="9"/>
      <c r="C749" s="9"/>
      <c r="D749" s="9"/>
      <c r="E749" s="9"/>
      <c r="F749" s="9"/>
      <c r="G749" s="9"/>
      <c r="H749" s="9"/>
      <c r="I749" s="9"/>
      <c r="J749" s="9"/>
      <c r="K749" s="9"/>
    </row>
    <row r="750" spans="1:11" hidden="1" x14ac:dyDescent="0.3">
      <c r="A750" s="9"/>
      <c r="B750" s="9"/>
      <c r="C750" s="9"/>
      <c r="D750" s="9"/>
      <c r="E750" s="9"/>
      <c r="F750" s="9"/>
      <c r="G750" s="9"/>
      <c r="H750" s="9"/>
      <c r="I750" s="9"/>
      <c r="J750" s="9"/>
      <c r="K750" s="9"/>
    </row>
    <row r="751" spans="1:11" hidden="1" x14ac:dyDescent="0.3">
      <c r="A751" s="9"/>
      <c r="B751" s="9"/>
      <c r="C751" s="9"/>
      <c r="D751" s="9"/>
      <c r="E751" s="9"/>
      <c r="F751" s="9"/>
      <c r="G751" s="9"/>
      <c r="H751" s="9"/>
      <c r="I751" s="9"/>
      <c r="J751" s="9"/>
      <c r="K751" s="9"/>
    </row>
    <row r="752" spans="1:11" hidden="1" x14ac:dyDescent="0.3">
      <c r="A752" s="9"/>
      <c r="B752" s="9"/>
      <c r="C752" s="9"/>
      <c r="D752" s="9"/>
      <c r="E752" s="9"/>
      <c r="F752" s="9"/>
      <c r="G752" s="9"/>
      <c r="H752" s="9"/>
      <c r="I752" s="9"/>
      <c r="J752" s="9"/>
      <c r="K752" s="9"/>
    </row>
    <row r="753" spans="1:11" hidden="1" x14ac:dyDescent="0.3">
      <c r="A753" s="9"/>
      <c r="B753" s="9"/>
      <c r="C753" s="9"/>
      <c r="D753" s="9"/>
      <c r="E753" s="9"/>
      <c r="F753" s="9"/>
      <c r="G753" s="9"/>
      <c r="H753" s="9"/>
      <c r="I753" s="9"/>
      <c r="J753" s="9"/>
      <c r="K753" s="9"/>
    </row>
    <row r="754" spans="1:11" hidden="1" x14ac:dyDescent="0.3">
      <c r="A754" s="9"/>
      <c r="B754" s="9"/>
      <c r="C754" s="9"/>
      <c r="D754" s="9"/>
      <c r="E754" s="9"/>
      <c r="F754" s="9"/>
      <c r="G754" s="9"/>
      <c r="H754" s="9"/>
      <c r="I754" s="9"/>
      <c r="J754" s="9"/>
      <c r="K754" s="9"/>
    </row>
    <row r="755" spans="1:11" hidden="1" x14ac:dyDescent="0.3">
      <c r="A755" s="9"/>
      <c r="B755" s="9"/>
      <c r="C755" s="9"/>
      <c r="D755" s="9"/>
      <c r="E755" s="9"/>
      <c r="F755" s="9"/>
      <c r="G755" s="9"/>
      <c r="H755" s="9"/>
      <c r="I755" s="9"/>
      <c r="J755" s="9"/>
      <c r="K755" s="9"/>
    </row>
    <row r="756" spans="1:11" hidden="1" x14ac:dyDescent="0.3">
      <c r="A756" s="9"/>
      <c r="B756" s="9"/>
      <c r="C756" s="9"/>
      <c r="D756" s="9"/>
      <c r="E756" s="9"/>
      <c r="F756" s="9"/>
      <c r="G756" s="9"/>
      <c r="H756" s="9"/>
      <c r="I756" s="9"/>
      <c r="J756" s="9"/>
      <c r="K756" s="9"/>
    </row>
    <row r="757" spans="1:11" hidden="1" x14ac:dyDescent="0.3">
      <c r="A757" s="9"/>
      <c r="B757" s="9"/>
      <c r="C757" s="9"/>
      <c r="D757" s="9"/>
      <c r="E757" s="9"/>
      <c r="F757" s="9"/>
      <c r="G757" s="9"/>
      <c r="H757" s="9"/>
      <c r="I757" s="9"/>
      <c r="J757" s="9"/>
      <c r="K757" s="9"/>
    </row>
    <row r="758" spans="1:11" hidden="1" x14ac:dyDescent="0.3">
      <c r="A758" s="9"/>
      <c r="B758" s="9"/>
      <c r="C758" s="9"/>
      <c r="D758" s="9"/>
      <c r="E758" s="9"/>
      <c r="F758" s="9"/>
      <c r="G758" s="9"/>
      <c r="H758" s="9"/>
      <c r="I758" s="9"/>
      <c r="J758" s="9"/>
      <c r="K758" s="9"/>
    </row>
    <row r="759" spans="1:11" hidden="1" x14ac:dyDescent="0.3">
      <c r="A759" s="9"/>
      <c r="B759" s="9"/>
      <c r="C759" s="9"/>
      <c r="D759" s="9"/>
      <c r="E759" s="9"/>
      <c r="F759" s="9"/>
      <c r="G759" s="9"/>
      <c r="H759" s="9"/>
      <c r="I759" s="9"/>
      <c r="J759" s="9"/>
      <c r="K759" s="9"/>
    </row>
    <row r="760" spans="1:11" hidden="1" x14ac:dyDescent="0.3">
      <c r="A760" s="9"/>
      <c r="B760" s="9"/>
      <c r="C760" s="9"/>
      <c r="D760" s="9"/>
      <c r="E760" s="9"/>
      <c r="F760" s="9"/>
      <c r="G760" s="9"/>
      <c r="H760" s="9"/>
      <c r="I760" s="9"/>
      <c r="J760" s="9"/>
      <c r="K760" s="9"/>
    </row>
    <row r="761" spans="1:11" hidden="1" x14ac:dyDescent="0.3">
      <c r="A761" s="9"/>
      <c r="B761" s="9"/>
      <c r="C761" s="9"/>
      <c r="D761" s="9"/>
      <c r="E761" s="9"/>
      <c r="F761" s="9"/>
      <c r="G761" s="9"/>
      <c r="H761" s="9"/>
      <c r="I761" s="9"/>
      <c r="J761" s="9"/>
      <c r="K761" s="9"/>
    </row>
    <row r="762" spans="1:11" hidden="1" x14ac:dyDescent="0.3">
      <c r="A762" s="9"/>
      <c r="B762" s="9"/>
      <c r="C762" s="9"/>
      <c r="D762" s="9"/>
      <c r="E762" s="9"/>
      <c r="F762" s="9"/>
      <c r="G762" s="9"/>
      <c r="H762" s="9"/>
      <c r="I762" s="9"/>
      <c r="J762" s="9"/>
      <c r="K762" s="9"/>
    </row>
    <row r="763" spans="1:11" hidden="1" x14ac:dyDescent="0.3">
      <c r="A763" s="9"/>
      <c r="B763" s="9"/>
      <c r="C763" s="9"/>
      <c r="D763" s="9"/>
      <c r="E763" s="9"/>
      <c r="F763" s="9"/>
      <c r="G763" s="9"/>
      <c r="H763" s="9"/>
      <c r="I763" s="9"/>
      <c r="J763" s="9"/>
      <c r="K763" s="9"/>
    </row>
    <row r="764" spans="1:11" hidden="1" x14ac:dyDescent="0.3">
      <c r="A764" s="9"/>
      <c r="B764" s="9"/>
      <c r="C764" s="9"/>
      <c r="D764" s="9"/>
      <c r="E764" s="9"/>
      <c r="F764" s="9"/>
      <c r="G764" s="9"/>
      <c r="H764" s="9"/>
      <c r="I764" s="9"/>
      <c r="J764" s="9"/>
      <c r="K764" s="9"/>
    </row>
    <row r="765" spans="1:11" hidden="1" x14ac:dyDescent="0.3">
      <c r="A765" s="9"/>
      <c r="B765" s="9"/>
      <c r="C765" s="9"/>
      <c r="D765" s="9"/>
      <c r="E765" s="9"/>
      <c r="F765" s="9"/>
      <c r="G765" s="9"/>
      <c r="H765" s="9"/>
      <c r="I765" s="9"/>
      <c r="J765" s="9"/>
      <c r="K765" s="9"/>
    </row>
    <row r="766" spans="1:11" hidden="1" x14ac:dyDescent="0.3">
      <c r="A766" s="9"/>
      <c r="B766" s="9"/>
      <c r="C766" s="9"/>
      <c r="D766" s="9"/>
      <c r="E766" s="9"/>
      <c r="F766" s="9"/>
      <c r="G766" s="9"/>
      <c r="H766" s="9"/>
      <c r="I766" s="9"/>
      <c r="J766" s="9"/>
      <c r="K766" s="9"/>
    </row>
    <row r="767" spans="1:11" hidden="1" x14ac:dyDescent="0.3">
      <c r="A767" s="9"/>
      <c r="B767" s="9"/>
      <c r="C767" s="9"/>
      <c r="D767" s="9"/>
      <c r="E767" s="9"/>
      <c r="F767" s="9"/>
      <c r="G767" s="9"/>
      <c r="H767" s="9"/>
      <c r="I767" s="9"/>
      <c r="J767" s="9"/>
      <c r="K767" s="9"/>
    </row>
    <row r="768" spans="1:11" hidden="1" x14ac:dyDescent="0.3">
      <c r="A768" s="9"/>
      <c r="B768" s="9"/>
      <c r="C768" s="9"/>
      <c r="D768" s="9"/>
      <c r="E768" s="9"/>
      <c r="F768" s="9"/>
      <c r="G768" s="9"/>
      <c r="H768" s="9"/>
      <c r="I768" s="9"/>
      <c r="J768" s="9"/>
      <c r="K768" s="9"/>
    </row>
    <row r="769" spans="1:11" hidden="1" x14ac:dyDescent="0.3">
      <c r="A769" s="9"/>
      <c r="B769" s="9"/>
      <c r="C769" s="9"/>
      <c r="D769" s="9"/>
      <c r="E769" s="9"/>
      <c r="F769" s="9"/>
      <c r="G769" s="9"/>
      <c r="H769" s="9"/>
      <c r="I769" s="9"/>
      <c r="J769" s="9"/>
      <c r="K769" s="9"/>
    </row>
    <row r="770" spans="1:11" hidden="1" x14ac:dyDescent="0.3">
      <c r="A770" s="9"/>
      <c r="B770" s="9"/>
      <c r="C770" s="9"/>
      <c r="D770" s="9"/>
      <c r="E770" s="9"/>
      <c r="F770" s="9"/>
      <c r="G770" s="9"/>
      <c r="H770" s="9"/>
      <c r="I770" s="9"/>
      <c r="J770" s="9"/>
      <c r="K770" s="9"/>
    </row>
    <row r="771" spans="1:11" hidden="1" x14ac:dyDescent="0.3">
      <c r="A771" s="9"/>
      <c r="B771" s="9"/>
      <c r="C771" s="9"/>
      <c r="D771" s="9"/>
      <c r="E771" s="9"/>
      <c r="F771" s="9"/>
      <c r="G771" s="9"/>
      <c r="H771" s="9"/>
      <c r="I771" s="9"/>
      <c r="J771" s="9"/>
      <c r="K771" s="9"/>
    </row>
    <row r="772" spans="1:11" hidden="1" x14ac:dyDescent="0.3">
      <c r="A772" s="9"/>
      <c r="B772" s="9"/>
      <c r="C772" s="9"/>
      <c r="D772" s="9"/>
      <c r="E772" s="9"/>
      <c r="F772" s="9"/>
      <c r="G772" s="9"/>
      <c r="H772" s="9"/>
      <c r="I772" s="9"/>
      <c r="J772" s="9"/>
      <c r="K772" s="9"/>
    </row>
    <row r="773" spans="1:11" hidden="1" x14ac:dyDescent="0.3">
      <c r="A773" s="9"/>
      <c r="B773" s="9"/>
      <c r="C773" s="9"/>
      <c r="D773" s="9"/>
      <c r="E773" s="9"/>
      <c r="F773" s="9"/>
      <c r="G773" s="9"/>
      <c r="H773" s="9"/>
      <c r="I773" s="9"/>
      <c r="J773" s="9"/>
      <c r="K773" s="9"/>
    </row>
    <row r="774" spans="1:11" hidden="1" x14ac:dyDescent="0.3">
      <c r="A774" s="9"/>
      <c r="B774" s="9"/>
      <c r="C774" s="9"/>
      <c r="D774" s="9"/>
      <c r="E774" s="9"/>
      <c r="F774" s="9"/>
      <c r="G774" s="9"/>
      <c r="H774" s="9"/>
      <c r="I774" s="9"/>
      <c r="J774" s="9"/>
      <c r="K774" s="9"/>
    </row>
    <row r="775" spans="1:11" hidden="1" x14ac:dyDescent="0.3">
      <c r="A775" s="9"/>
      <c r="B775" s="9"/>
      <c r="C775" s="9"/>
      <c r="D775" s="9"/>
      <c r="E775" s="9"/>
      <c r="F775" s="9"/>
      <c r="G775" s="9"/>
      <c r="H775" s="9"/>
      <c r="I775" s="9"/>
      <c r="J775" s="9"/>
      <c r="K775" s="9"/>
    </row>
    <row r="776" spans="1:11" hidden="1" x14ac:dyDescent="0.3">
      <c r="A776" s="9"/>
      <c r="B776" s="9"/>
      <c r="C776" s="9"/>
      <c r="D776" s="9"/>
      <c r="E776" s="9"/>
      <c r="F776" s="9"/>
      <c r="G776" s="9"/>
      <c r="H776" s="9"/>
      <c r="I776" s="9"/>
      <c r="J776" s="9"/>
      <c r="K776" s="9"/>
    </row>
    <row r="777" spans="1:11" hidden="1" x14ac:dyDescent="0.3">
      <c r="A777" s="9"/>
      <c r="B777" s="9"/>
      <c r="C777" s="9"/>
      <c r="D777" s="9"/>
      <c r="E777" s="9"/>
      <c r="F777" s="9"/>
      <c r="G777" s="9"/>
      <c r="H777" s="9"/>
      <c r="I777" s="9"/>
      <c r="J777" s="9"/>
      <c r="K777" s="9"/>
    </row>
    <row r="778" spans="1:11" hidden="1" x14ac:dyDescent="0.3">
      <c r="A778" s="9"/>
      <c r="B778" s="9"/>
      <c r="C778" s="9"/>
      <c r="D778" s="9"/>
      <c r="E778" s="9"/>
      <c r="F778" s="9"/>
      <c r="G778" s="9"/>
      <c r="H778" s="9"/>
      <c r="I778" s="9"/>
      <c r="J778" s="9"/>
      <c r="K778" s="9"/>
    </row>
    <row r="779" spans="1:11" hidden="1" x14ac:dyDescent="0.3">
      <c r="A779" s="9"/>
      <c r="B779" s="9"/>
      <c r="C779" s="9"/>
      <c r="D779" s="9"/>
      <c r="E779" s="9"/>
      <c r="F779" s="9"/>
      <c r="G779" s="9"/>
      <c r="H779" s="9"/>
      <c r="I779" s="9"/>
      <c r="J779" s="9"/>
      <c r="K779" s="9"/>
    </row>
    <row r="780" spans="1:11" hidden="1" x14ac:dyDescent="0.3">
      <c r="A780" s="9"/>
      <c r="B780" s="9"/>
      <c r="C780" s="9"/>
      <c r="D780" s="9"/>
      <c r="E780" s="9"/>
      <c r="F780" s="9"/>
      <c r="G780" s="9"/>
      <c r="H780" s="9"/>
      <c r="I780" s="9"/>
      <c r="J780" s="9"/>
      <c r="K780" s="9"/>
    </row>
    <row r="781" spans="1:11" hidden="1" x14ac:dyDescent="0.3">
      <c r="A781" s="9"/>
      <c r="B781" s="9"/>
      <c r="C781" s="9"/>
      <c r="D781" s="9"/>
      <c r="E781" s="9"/>
      <c r="F781" s="9"/>
      <c r="G781" s="9"/>
      <c r="H781" s="9"/>
      <c r="I781" s="9"/>
      <c r="J781" s="9"/>
      <c r="K781" s="9"/>
    </row>
    <row r="782" spans="1:11" hidden="1" x14ac:dyDescent="0.3">
      <c r="A782" s="9"/>
      <c r="B782" s="9"/>
      <c r="C782" s="9"/>
      <c r="D782" s="9"/>
      <c r="E782" s="9"/>
      <c r="F782" s="9"/>
      <c r="G782" s="9"/>
      <c r="H782" s="9"/>
      <c r="I782" s="9"/>
      <c r="J782" s="9"/>
      <c r="K782" s="9"/>
    </row>
    <row r="783" spans="1:11" hidden="1" x14ac:dyDescent="0.3">
      <c r="A783" s="9"/>
      <c r="B783" s="9"/>
      <c r="C783" s="9"/>
      <c r="D783" s="9"/>
      <c r="E783" s="9"/>
      <c r="F783" s="9"/>
      <c r="G783" s="9"/>
      <c r="H783" s="9"/>
      <c r="I783" s="9"/>
      <c r="J783" s="9"/>
      <c r="K783" s="9"/>
    </row>
    <row r="784" spans="1:11" hidden="1" x14ac:dyDescent="0.3">
      <c r="A784" s="9"/>
      <c r="B784" s="9"/>
      <c r="C784" s="9"/>
      <c r="D784" s="9"/>
      <c r="E784" s="9"/>
      <c r="F784" s="9"/>
      <c r="G784" s="9"/>
      <c r="H784" s="9"/>
      <c r="I784" s="9"/>
      <c r="J784" s="9"/>
      <c r="K784" s="9"/>
    </row>
    <row r="785" spans="1:11" hidden="1" x14ac:dyDescent="0.3">
      <c r="A785" s="9"/>
      <c r="B785" s="9"/>
      <c r="C785" s="9"/>
      <c r="D785" s="9"/>
      <c r="E785" s="9"/>
      <c r="F785" s="9"/>
      <c r="G785" s="9"/>
      <c r="H785" s="9"/>
      <c r="I785" s="9"/>
      <c r="J785" s="9"/>
      <c r="K785" s="9"/>
    </row>
    <row r="786" spans="1:11" hidden="1" x14ac:dyDescent="0.3">
      <c r="A786" s="9"/>
      <c r="B786" s="9"/>
      <c r="C786" s="9"/>
      <c r="D786" s="9"/>
      <c r="E786" s="9"/>
      <c r="F786" s="9"/>
      <c r="G786" s="9"/>
      <c r="H786" s="9"/>
      <c r="I786" s="9"/>
      <c r="J786" s="9"/>
      <c r="K786" s="9"/>
    </row>
    <row r="787" spans="1:11" hidden="1" x14ac:dyDescent="0.3">
      <c r="A787" s="9"/>
      <c r="B787" s="9"/>
      <c r="C787" s="9"/>
      <c r="D787" s="9"/>
      <c r="E787" s="9"/>
      <c r="F787" s="9"/>
      <c r="G787" s="9"/>
      <c r="H787" s="9"/>
      <c r="I787" s="9"/>
      <c r="J787" s="9"/>
      <c r="K787" s="9"/>
    </row>
    <row r="788" spans="1:11" hidden="1" x14ac:dyDescent="0.3">
      <c r="A788" s="9"/>
      <c r="B788" s="9"/>
      <c r="C788" s="9"/>
      <c r="D788" s="9"/>
      <c r="E788" s="9"/>
      <c r="F788" s="9"/>
      <c r="G788" s="9"/>
      <c r="H788" s="9"/>
      <c r="I788" s="9"/>
      <c r="J788" s="9"/>
      <c r="K788" s="9"/>
    </row>
    <row r="789" spans="1:11" hidden="1" x14ac:dyDescent="0.3">
      <c r="A789" s="9"/>
      <c r="B789" s="9"/>
      <c r="C789" s="9"/>
      <c r="D789" s="9"/>
      <c r="E789" s="9"/>
      <c r="F789" s="9"/>
      <c r="G789" s="9"/>
      <c r="H789" s="9"/>
      <c r="I789" s="9"/>
      <c r="J789" s="9"/>
      <c r="K789" s="9"/>
    </row>
    <row r="790" spans="1:11" hidden="1" x14ac:dyDescent="0.3">
      <c r="A790" s="9"/>
      <c r="B790" s="9"/>
      <c r="C790" s="9"/>
      <c r="D790" s="9"/>
      <c r="E790" s="9"/>
      <c r="F790" s="9"/>
      <c r="G790" s="9"/>
      <c r="H790" s="9"/>
      <c r="I790" s="9"/>
      <c r="J790" s="9"/>
      <c r="K790" s="9"/>
    </row>
    <row r="791" spans="1:11" hidden="1" x14ac:dyDescent="0.3">
      <c r="A791" s="9"/>
      <c r="B791" s="9"/>
      <c r="C791" s="9"/>
      <c r="D791" s="9"/>
      <c r="E791" s="9"/>
      <c r="F791" s="9"/>
      <c r="G791" s="9"/>
      <c r="H791" s="9"/>
      <c r="I791" s="9"/>
      <c r="J791" s="9"/>
      <c r="K791" s="9"/>
    </row>
    <row r="792" spans="1:11" hidden="1" x14ac:dyDescent="0.3">
      <c r="A792" s="9"/>
      <c r="B792" s="9"/>
      <c r="C792" s="9"/>
      <c r="D792" s="9"/>
      <c r="E792" s="9"/>
      <c r="F792" s="9"/>
      <c r="G792" s="9"/>
      <c r="H792" s="9"/>
      <c r="I792" s="9"/>
      <c r="J792" s="9"/>
      <c r="K792" s="9"/>
    </row>
    <row r="793" spans="1:11" hidden="1" x14ac:dyDescent="0.3">
      <c r="A793" s="9"/>
      <c r="B793" s="9"/>
      <c r="C793" s="9"/>
      <c r="D793" s="9"/>
      <c r="E793" s="9"/>
      <c r="F793" s="9"/>
      <c r="G793" s="9"/>
      <c r="H793" s="9"/>
      <c r="I793" s="9"/>
      <c r="J793" s="9"/>
      <c r="K793" s="9"/>
    </row>
    <row r="794" spans="1:11" hidden="1" x14ac:dyDescent="0.3">
      <c r="A794" s="9"/>
      <c r="B794" s="9"/>
      <c r="C794" s="9"/>
      <c r="D794" s="9"/>
      <c r="E794" s="9"/>
      <c r="F794" s="9"/>
      <c r="G794" s="9"/>
      <c r="H794" s="9"/>
      <c r="I794" s="9"/>
      <c r="J794" s="9"/>
      <c r="K794" s="9"/>
    </row>
    <row r="795" spans="1:11" hidden="1" x14ac:dyDescent="0.3">
      <c r="A795" s="9"/>
      <c r="B795" s="9"/>
      <c r="C795" s="9"/>
      <c r="D795" s="9"/>
      <c r="E795" s="9"/>
      <c r="F795" s="9"/>
      <c r="G795" s="9"/>
      <c r="H795" s="9"/>
      <c r="I795" s="9"/>
      <c r="J795" s="9"/>
      <c r="K795" s="9"/>
    </row>
    <row r="796" spans="1:11" hidden="1" x14ac:dyDescent="0.3">
      <c r="A796" s="9"/>
      <c r="B796" s="9"/>
      <c r="C796" s="9"/>
      <c r="D796" s="9"/>
      <c r="E796" s="9"/>
      <c r="F796" s="9"/>
      <c r="G796" s="9"/>
      <c r="H796" s="9"/>
      <c r="I796" s="9"/>
      <c r="J796" s="9"/>
      <c r="K796" s="9"/>
    </row>
    <row r="797" spans="1:11" hidden="1" x14ac:dyDescent="0.3">
      <c r="A797" s="9"/>
      <c r="B797" s="9"/>
      <c r="C797" s="9"/>
      <c r="D797" s="9"/>
      <c r="E797" s="9"/>
      <c r="F797" s="9"/>
      <c r="G797" s="9"/>
      <c r="H797" s="9"/>
      <c r="I797" s="9"/>
      <c r="J797" s="9"/>
      <c r="K797" s="9"/>
    </row>
    <row r="798" spans="1:11" hidden="1" x14ac:dyDescent="0.3">
      <c r="A798" s="9"/>
      <c r="B798" s="9"/>
      <c r="C798" s="9"/>
      <c r="D798" s="9"/>
      <c r="E798" s="9"/>
      <c r="F798" s="9"/>
      <c r="G798" s="9"/>
      <c r="H798" s="9"/>
      <c r="I798" s="9"/>
      <c r="J798" s="9"/>
      <c r="K798" s="9"/>
    </row>
    <row r="799" spans="1:11" hidden="1" x14ac:dyDescent="0.3">
      <c r="A799" s="9"/>
      <c r="B799" s="9"/>
      <c r="C799" s="9"/>
      <c r="D799" s="9"/>
      <c r="E799" s="9"/>
      <c r="F799" s="9"/>
      <c r="G799" s="9"/>
      <c r="H799" s="9"/>
      <c r="I799" s="9"/>
      <c r="J799" s="9"/>
      <c r="K799" s="9"/>
    </row>
    <row r="800" spans="1:11" hidden="1" x14ac:dyDescent="0.3">
      <c r="A800" s="9"/>
      <c r="B800" s="9"/>
      <c r="C800" s="9"/>
      <c r="D800" s="9"/>
      <c r="E800" s="9"/>
      <c r="F800" s="9"/>
      <c r="G800" s="9"/>
      <c r="H800" s="9"/>
      <c r="I800" s="9"/>
      <c r="J800" s="9"/>
      <c r="K800" s="9"/>
    </row>
    <row r="801" spans="1:11" hidden="1" x14ac:dyDescent="0.3">
      <c r="A801" s="9"/>
      <c r="B801" s="9"/>
      <c r="C801" s="9"/>
      <c r="D801" s="9"/>
      <c r="E801" s="9"/>
      <c r="F801" s="9"/>
      <c r="G801" s="9"/>
      <c r="H801" s="9"/>
      <c r="I801" s="9"/>
      <c r="J801" s="9"/>
      <c r="K801" s="9"/>
    </row>
    <row r="802" spans="1:11" hidden="1" x14ac:dyDescent="0.3">
      <c r="A802" s="9"/>
      <c r="B802" s="9"/>
      <c r="C802" s="9"/>
      <c r="D802" s="9"/>
      <c r="E802" s="9"/>
      <c r="F802" s="9"/>
      <c r="G802" s="9"/>
      <c r="H802" s="9"/>
      <c r="I802" s="9"/>
      <c r="J802" s="9"/>
      <c r="K802" s="9"/>
    </row>
    <row r="803" spans="1:11" hidden="1" x14ac:dyDescent="0.3">
      <c r="A803" s="9"/>
      <c r="B803" s="9"/>
      <c r="C803" s="9"/>
      <c r="D803" s="9"/>
      <c r="E803" s="9"/>
      <c r="F803" s="9"/>
      <c r="G803" s="9"/>
      <c r="H803" s="9"/>
      <c r="I803" s="9"/>
      <c r="J803" s="9"/>
      <c r="K803" s="9"/>
    </row>
    <row r="804" spans="1:11" hidden="1" x14ac:dyDescent="0.3">
      <c r="A804" s="9"/>
      <c r="B804" s="9"/>
      <c r="C804" s="9"/>
      <c r="D804" s="9"/>
      <c r="E804" s="9"/>
      <c r="F804" s="9"/>
      <c r="G804" s="9"/>
      <c r="H804" s="9"/>
      <c r="I804" s="9"/>
      <c r="J804" s="9"/>
      <c r="K804" s="9"/>
    </row>
    <row r="805" spans="1:11" hidden="1" x14ac:dyDescent="0.3">
      <c r="A805" s="9"/>
      <c r="B805" s="9"/>
      <c r="C805" s="9"/>
      <c r="D805" s="9"/>
      <c r="E805" s="9"/>
      <c r="F805" s="9"/>
      <c r="G805" s="9"/>
      <c r="H805" s="9"/>
      <c r="I805" s="9"/>
      <c r="J805" s="9"/>
      <c r="K805" s="9"/>
    </row>
    <row r="806" spans="1:11" hidden="1" x14ac:dyDescent="0.3">
      <c r="A806" s="9"/>
      <c r="B806" s="9"/>
      <c r="C806" s="9"/>
      <c r="D806" s="9"/>
      <c r="E806" s="9"/>
      <c r="F806" s="9"/>
      <c r="G806" s="9"/>
      <c r="H806" s="9"/>
      <c r="I806" s="9"/>
      <c r="J806" s="9"/>
      <c r="K806" s="9"/>
    </row>
    <row r="807" spans="1:11" hidden="1" x14ac:dyDescent="0.3">
      <c r="A807" s="9"/>
      <c r="B807" s="9"/>
      <c r="C807" s="9"/>
      <c r="D807" s="9"/>
      <c r="E807" s="9"/>
      <c r="F807" s="9"/>
      <c r="G807" s="9"/>
      <c r="H807" s="9"/>
      <c r="I807" s="9"/>
      <c r="J807" s="9"/>
      <c r="K807" s="9"/>
    </row>
    <row r="808" spans="1:11" hidden="1" x14ac:dyDescent="0.3">
      <c r="A808" s="9"/>
      <c r="B808" s="9"/>
      <c r="C808" s="9"/>
      <c r="D808" s="9"/>
      <c r="E808" s="9"/>
      <c r="F808" s="9"/>
      <c r="G808" s="9"/>
      <c r="H808" s="9"/>
      <c r="I808" s="9"/>
      <c r="J808" s="9"/>
      <c r="K808" s="9"/>
    </row>
    <row r="809" spans="1:11" hidden="1" x14ac:dyDescent="0.3">
      <c r="A809" s="9"/>
      <c r="B809" s="9"/>
      <c r="C809" s="9"/>
      <c r="D809" s="9"/>
      <c r="E809" s="9"/>
      <c r="F809" s="9"/>
      <c r="G809" s="9"/>
      <c r="H809" s="9"/>
      <c r="I809" s="9"/>
      <c r="J809" s="9"/>
      <c r="K809" s="9"/>
    </row>
    <row r="810" spans="1:11" hidden="1" x14ac:dyDescent="0.3">
      <c r="A810" s="9"/>
      <c r="B810" s="9"/>
      <c r="C810" s="9"/>
      <c r="D810" s="9"/>
      <c r="E810" s="9"/>
      <c r="F810" s="9"/>
      <c r="G810" s="9"/>
      <c r="H810" s="9"/>
      <c r="I810" s="9"/>
      <c r="J810" s="9"/>
      <c r="K810" s="9"/>
    </row>
    <row r="811" spans="1:11" hidden="1" x14ac:dyDescent="0.3">
      <c r="A811" s="9"/>
      <c r="B811" s="9"/>
      <c r="C811" s="9"/>
      <c r="D811" s="9"/>
      <c r="E811" s="9"/>
      <c r="F811" s="9"/>
      <c r="G811" s="9"/>
      <c r="H811" s="9"/>
      <c r="I811" s="9"/>
      <c r="J811" s="9"/>
      <c r="K811" s="9"/>
    </row>
    <row r="812" spans="1:11" hidden="1" x14ac:dyDescent="0.3">
      <c r="A812" s="9"/>
      <c r="B812" s="9"/>
      <c r="C812" s="9"/>
      <c r="D812" s="9"/>
      <c r="E812" s="9"/>
      <c r="F812" s="9"/>
      <c r="G812" s="9"/>
      <c r="H812" s="9"/>
      <c r="I812" s="9"/>
      <c r="J812" s="9"/>
      <c r="K812" s="9"/>
    </row>
    <row r="813" spans="1:11" hidden="1" x14ac:dyDescent="0.3">
      <c r="A813" s="9"/>
      <c r="B813" s="9"/>
      <c r="C813" s="9"/>
      <c r="D813" s="9"/>
      <c r="E813" s="9"/>
      <c r="F813" s="9"/>
      <c r="G813" s="9"/>
      <c r="H813" s="9"/>
      <c r="I813" s="9"/>
      <c r="J813" s="9"/>
      <c r="K813" s="9"/>
    </row>
    <row r="814" spans="1:11" hidden="1" x14ac:dyDescent="0.3">
      <c r="A814" s="9"/>
      <c r="B814" s="9"/>
      <c r="C814" s="9"/>
      <c r="D814" s="9"/>
      <c r="E814" s="9"/>
      <c r="F814" s="9"/>
      <c r="G814" s="9"/>
      <c r="H814" s="9"/>
      <c r="I814" s="9"/>
      <c r="J814" s="9"/>
      <c r="K814" s="9"/>
    </row>
    <row r="815" spans="1:11" hidden="1" x14ac:dyDescent="0.3">
      <c r="A815" s="9"/>
      <c r="B815" s="9"/>
      <c r="C815" s="9"/>
      <c r="D815" s="9"/>
      <c r="E815" s="9"/>
      <c r="F815" s="9"/>
      <c r="G815" s="9"/>
      <c r="H815" s="9"/>
      <c r="I815" s="9"/>
      <c r="J815" s="9"/>
      <c r="K815" s="9"/>
    </row>
    <row r="816" spans="1:11" hidden="1" x14ac:dyDescent="0.3">
      <c r="A816" s="9"/>
      <c r="B816" s="9"/>
      <c r="C816" s="9"/>
      <c r="D816" s="9"/>
      <c r="E816" s="9"/>
      <c r="F816" s="9"/>
      <c r="G816" s="9"/>
      <c r="H816" s="9"/>
      <c r="I816" s="9"/>
      <c r="J816" s="9"/>
      <c r="K816" s="9"/>
    </row>
    <row r="817" spans="1:11" hidden="1" x14ac:dyDescent="0.3">
      <c r="A817" s="9"/>
      <c r="B817" s="9"/>
      <c r="C817" s="9"/>
      <c r="D817" s="9"/>
      <c r="E817" s="9"/>
      <c r="F817" s="9"/>
      <c r="G817" s="9"/>
      <c r="H817" s="9"/>
      <c r="I817" s="9"/>
      <c r="J817" s="9"/>
      <c r="K817" s="9"/>
    </row>
    <row r="818" spans="1:11" hidden="1" x14ac:dyDescent="0.3">
      <c r="A818" s="9"/>
      <c r="B818" s="9"/>
      <c r="C818" s="9"/>
      <c r="D818" s="9"/>
      <c r="E818" s="9"/>
      <c r="F818" s="9"/>
      <c r="G818" s="9"/>
      <c r="H818" s="9"/>
      <c r="I818" s="9"/>
      <c r="J818" s="9"/>
      <c r="K818" s="9"/>
    </row>
    <row r="819" spans="1:11" hidden="1" x14ac:dyDescent="0.3">
      <c r="A819" s="9"/>
      <c r="B819" s="9"/>
      <c r="C819" s="9"/>
      <c r="D819" s="9"/>
      <c r="E819" s="9"/>
      <c r="F819" s="9"/>
      <c r="G819" s="9"/>
      <c r="H819" s="9"/>
      <c r="I819" s="9"/>
      <c r="J819" s="9"/>
      <c r="K819" s="9"/>
    </row>
    <row r="820" spans="1:11" hidden="1" x14ac:dyDescent="0.3">
      <c r="A820" s="9"/>
      <c r="B820" s="9"/>
      <c r="C820" s="9"/>
      <c r="D820" s="9"/>
      <c r="E820" s="9"/>
      <c r="F820" s="9"/>
      <c r="G820" s="9"/>
      <c r="H820" s="9"/>
      <c r="I820" s="9"/>
      <c r="J820" s="9"/>
      <c r="K820" s="9"/>
    </row>
    <row r="821" spans="1:11" hidden="1" x14ac:dyDescent="0.3">
      <c r="A821" s="9"/>
      <c r="B821" s="9"/>
      <c r="C821" s="9"/>
      <c r="D821" s="9"/>
      <c r="E821" s="9"/>
      <c r="F821" s="9"/>
      <c r="G821" s="9"/>
      <c r="H821" s="9"/>
      <c r="I821" s="9"/>
      <c r="J821" s="9"/>
      <c r="K821" s="9"/>
    </row>
    <row r="822" spans="1:11" hidden="1" x14ac:dyDescent="0.3">
      <c r="A822" s="9"/>
      <c r="B822" s="9"/>
      <c r="C822" s="9"/>
      <c r="D822" s="9"/>
      <c r="E822" s="9"/>
      <c r="F822" s="9"/>
      <c r="G822" s="9"/>
      <c r="H822" s="9"/>
      <c r="I822" s="9"/>
      <c r="J822" s="9"/>
      <c r="K822" s="9"/>
    </row>
    <row r="823" spans="1:11" hidden="1" x14ac:dyDescent="0.3">
      <c r="A823" s="9"/>
      <c r="B823" s="9"/>
      <c r="C823" s="9"/>
      <c r="D823" s="9"/>
      <c r="E823" s="9"/>
      <c r="F823" s="9"/>
      <c r="G823" s="9"/>
      <c r="H823" s="9"/>
      <c r="I823" s="9"/>
      <c r="J823" s="9"/>
      <c r="K823" s="9"/>
    </row>
    <row r="824" spans="1:11" hidden="1" x14ac:dyDescent="0.3">
      <c r="A824" s="9"/>
      <c r="B824" s="9"/>
      <c r="C824" s="9"/>
      <c r="D824" s="9"/>
      <c r="E824" s="9"/>
      <c r="F824" s="9"/>
      <c r="G824" s="9"/>
      <c r="H824" s="9"/>
      <c r="I824" s="9"/>
      <c r="J824" s="9"/>
      <c r="K824" s="9"/>
    </row>
    <row r="825" spans="1:11" hidden="1" x14ac:dyDescent="0.3">
      <c r="A825" s="9"/>
      <c r="B825" s="9"/>
      <c r="C825" s="9"/>
      <c r="D825" s="9"/>
      <c r="E825" s="9"/>
      <c r="F825" s="9"/>
      <c r="G825" s="9"/>
      <c r="H825" s="9"/>
      <c r="I825" s="9"/>
      <c r="J825" s="9"/>
      <c r="K825" s="9"/>
    </row>
    <row r="826" spans="1:11" hidden="1" x14ac:dyDescent="0.3">
      <c r="A826" s="9"/>
      <c r="B826" s="9"/>
      <c r="C826" s="9"/>
      <c r="D826" s="9"/>
      <c r="E826" s="9"/>
      <c r="F826" s="9"/>
      <c r="G826" s="9"/>
      <c r="H826" s="9"/>
      <c r="I826" s="9"/>
      <c r="J826" s="9"/>
      <c r="K826" s="9"/>
    </row>
    <row r="827" spans="1:11" hidden="1" x14ac:dyDescent="0.3">
      <c r="A827" s="9"/>
      <c r="B827" s="9"/>
      <c r="C827" s="9"/>
      <c r="D827" s="9"/>
      <c r="E827" s="9"/>
      <c r="F827" s="9"/>
      <c r="G827" s="9"/>
      <c r="H827" s="9"/>
      <c r="I827" s="9"/>
      <c r="J827" s="9"/>
      <c r="K827" s="9"/>
    </row>
    <row r="828" spans="1:11" hidden="1" x14ac:dyDescent="0.3">
      <c r="A828" s="9"/>
      <c r="B828" s="9"/>
      <c r="C828" s="9"/>
      <c r="D828" s="9"/>
      <c r="E828" s="9"/>
      <c r="F828" s="9"/>
      <c r="G828" s="9"/>
      <c r="H828" s="9"/>
      <c r="I828" s="9"/>
      <c r="J828" s="9"/>
      <c r="K828" s="9"/>
    </row>
    <row r="829" spans="1:11" hidden="1" x14ac:dyDescent="0.3">
      <c r="A829" s="9"/>
      <c r="B829" s="9"/>
      <c r="C829" s="9"/>
      <c r="D829" s="9"/>
      <c r="E829" s="9"/>
      <c r="F829" s="9"/>
      <c r="G829" s="9"/>
      <c r="H829" s="9"/>
      <c r="I829" s="9"/>
      <c r="J829" s="9"/>
      <c r="K829" s="9"/>
    </row>
    <row r="830" spans="1:11" hidden="1" x14ac:dyDescent="0.3">
      <c r="A830" s="9"/>
      <c r="B830" s="9"/>
      <c r="C830" s="9"/>
      <c r="D830" s="9"/>
      <c r="E830" s="9"/>
      <c r="F830" s="9"/>
      <c r="G830" s="9"/>
      <c r="H830" s="9"/>
      <c r="I830" s="9"/>
      <c r="J830" s="9"/>
      <c r="K830" s="9"/>
    </row>
    <row r="831" spans="1:11" hidden="1" x14ac:dyDescent="0.3">
      <c r="A831" s="9"/>
      <c r="B831" s="9"/>
      <c r="C831" s="9"/>
      <c r="D831" s="9"/>
      <c r="E831" s="9"/>
      <c r="F831" s="9"/>
      <c r="G831" s="9"/>
      <c r="H831" s="9"/>
      <c r="I831" s="9"/>
      <c r="J831" s="9"/>
      <c r="K831" s="9"/>
    </row>
    <row r="832" spans="1:11" hidden="1" x14ac:dyDescent="0.3">
      <c r="A832" s="9"/>
      <c r="B832" s="9"/>
      <c r="C832" s="9"/>
      <c r="D832" s="9"/>
      <c r="E832" s="9"/>
      <c r="F832" s="9"/>
      <c r="G832" s="9"/>
      <c r="H832" s="9"/>
      <c r="I832" s="9"/>
      <c r="J832" s="9"/>
      <c r="K832" s="9"/>
    </row>
    <row r="833" spans="1:11" hidden="1" x14ac:dyDescent="0.3">
      <c r="A833" s="9"/>
      <c r="B833" s="9"/>
      <c r="C833" s="9"/>
      <c r="D833" s="9"/>
      <c r="E833" s="9"/>
      <c r="F833" s="9"/>
      <c r="G833" s="9"/>
      <c r="H833" s="9"/>
      <c r="I833" s="9"/>
      <c r="J833" s="9"/>
      <c r="K833" s="9"/>
    </row>
    <row r="834" spans="1:11" hidden="1" x14ac:dyDescent="0.3">
      <c r="A834" s="9"/>
      <c r="B834" s="9"/>
      <c r="C834" s="9"/>
      <c r="D834" s="9"/>
      <c r="E834" s="9"/>
      <c r="F834" s="9"/>
      <c r="G834" s="9"/>
      <c r="H834" s="9"/>
      <c r="I834" s="9"/>
      <c r="J834" s="9"/>
      <c r="K834" s="9"/>
    </row>
    <row r="835" spans="1:11" hidden="1" x14ac:dyDescent="0.3">
      <c r="A835" s="9"/>
      <c r="B835" s="9"/>
      <c r="C835" s="9"/>
      <c r="D835" s="9"/>
      <c r="E835" s="9"/>
      <c r="F835" s="9"/>
      <c r="G835" s="9"/>
      <c r="H835" s="9"/>
      <c r="I835" s="9"/>
      <c r="J835" s="9"/>
      <c r="K835" s="9"/>
    </row>
    <row r="836" spans="1:11" hidden="1" x14ac:dyDescent="0.3">
      <c r="A836" s="9"/>
      <c r="B836" s="9"/>
      <c r="C836" s="9"/>
      <c r="D836" s="9"/>
      <c r="E836" s="9"/>
      <c r="F836" s="9"/>
      <c r="G836" s="9"/>
      <c r="H836" s="9"/>
      <c r="I836" s="9"/>
      <c r="J836" s="9"/>
      <c r="K836" s="9"/>
    </row>
    <row r="837" spans="1:11" hidden="1" x14ac:dyDescent="0.3">
      <c r="A837" s="9"/>
      <c r="B837" s="9"/>
      <c r="C837" s="9"/>
      <c r="D837" s="9"/>
      <c r="E837" s="9"/>
      <c r="F837" s="9"/>
      <c r="G837" s="9"/>
      <c r="H837" s="9"/>
      <c r="I837" s="9"/>
      <c r="J837" s="9"/>
      <c r="K837" s="9"/>
    </row>
    <row r="838" spans="1:11" hidden="1" x14ac:dyDescent="0.3">
      <c r="A838" s="9"/>
      <c r="B838" s="9"/>
      <c r="C838" s="9"/>
      <c r="D838" s="9"/>
      <c r="E838" s="9"/>
      <c r="F838" s="9"/>
      <c r="G838" s="9"/>
      <c r="H838" s="9"/>
      <c r="I838" s="9"/>
      <c r="J838" s="9"/>
      <c r="K838" s="9"/>
    </row>
    <row r="839" spans="1:11" hidden="1" x14ac:dyDescent="0.3">
      <c r="A839" s="9"/>
      <c r="B839" s="9"/>
      <c r="C839" s="9"/>
      <c r="D839" s="9"/>
      <c r="E839" s="9"/>
      <c r="F839" s="9"/>
      <c r="G839" s="9"/>
      <c r="H839" s="9"/>
      <c r="I839" s="9"/>
      <c r="J839" s="9"/>
      <c r="K839" s="9"/>
    </row>
    <row r="840" spans="1:11" hidden="1" x14ac:dyDescent="0.3">
      <c r="A840" s="9"/>
      <c r="B840" s="9"/>
      <c r="C840" s="9"/>
      <c r="D840" s="9"/>
      <c r="E840" s="9"/>
      <c r="F840" s="9"/>
      <c r="G840" s="9"/>
      <c r="H840" s="9"/>
      <c r="I840" s="9"/>
      <c r="J840" s="9"/>
      <c r="K840" s="9"/>
    </row>
    <row r="841" spans="1:11" hidden="1" x14ac:dyDescent="0.3">
      <c r="A841" s="9"/>
      <c r="B841" s="9"/>
      <c r="C841" s="9"/>
      <c r="D841" s="9"/>
      <c r="E841" s="9"/>
      <c r="F841" s="9"/>
      <c r="G841" s="9"/>
      <c r="H841" s="9"/>
      <c r="I841" s="9"/>
      <c r="J841" s="9"/>
      <c r="K841" s="9"/>
    </row>
    <row r="842" spans="1:11" hidden="1" x14ac:dyDescent="0.3">
      <c r="A842" s="9"/>
      <c r="B842" s="9"/>
      <c r="C842" s="9"/>
      <c r="D842" s="9"/>
      <c r="E842" s="9"/>
      <c r="F842" s="9"/>
      <c r="G842" s="9"/>
      <c r="H842" s="9"/>
      <c r="I842" s="9"/>
      <c r="J842" s="9"/>
      <c r="K842" s="9"/>
    </row>
    <row r="843" spans="1:11" hidden="1" x14ac:dyDescent="0.3">
      <c r="A843" s="9"/>
      <c r="B843" s="9"/>
      <c r="C843" s="9"/>
      <c r="D843" s="9"/>
      <c r="E843" s="9"/>
      <c r="F843" s="9"/>
      <c r="G843" s="9"/>
      <c r="H843" s="9"/>
      <c r="I843" s="9"/>
      <c r="J843" s="9"/>
      <c r="K843" s="9"/>
    </row>
    <row r="844" spans="1:11" hidden="1" x14ac:dyDescent="0.3">
      <c r="A844" s="9"/>
      <c r="B844" s="9"/>
      <c r="C844" s="9"/>
      <c r="D844" s="9"/>
      <c r="E844" s="9"/>
      <c r="F844" s="9"/>
      <c r="G844" s="9"/>
      <c r="H844" s="9"/>
      <c r="I844" s="9"/>
      <c r="J844" s="9"/>
      <c r="K844" s="9"/>
    </row>
    <row r="845" spans="1:11" hidden="1" x14ac:dyDescent="0.3">
      <c r="A845" s="9"/>
      <c r="B845" s="9"/>
      <c r="C845" s="9"/>
      <c r="D845" s="9"/>
      <c r="E845" s="9"/>
      <c r="F845" s="9"/>
      <c r="G845" s="9"/>
      <c r="H845" s="9"/>
      <c r="I845" s="9"/>
      <c r="J845" s="9"/>
      <c r="K845" s="9"/>
    </row>
    <row r="846" spans="1:11" hidden="1" x14ac:dyDescent="0.3">
      <c r="A846" s="9"/>
      <c r="B846" s="9"/>
      <c r="C846" s="9"/>
      <c r="D846" s="9"/>
      <c r="E846" s="9"/>
      <c r="F846" s="9"/>
      <c r="G846" s="9"/>
      <c r="H846" s="9"/>
      <c r="I846" s="9"/>
      <c r="J846" s="9"/>
      <c r="K846" s="9"/>
    </row>
    <row r="847" spans="1:11" hidden="1" x14ac:dyDescent="0.3">
      <c r="A847" s="9"/>
      <c r="B847" s="9"/>
      <c r="C847" s="9"/>
      <c r="D847" s="9"/>
      <c r="E847" s="9"/>
      <c r="F847" s="9"/>
      <c r="G847" s="9"/>
      <c r="H847" s="9"/>
      <c r="I847" s="9"/>
      <c r="J847" s="9"/>
      <c r="K847" s="9"/>
    </row>
    <row r="848" spans="1:11" hidden="1" x14ac:dyDescent="0.3">
      <c r="A848" s="9"/>
      <c r="B848" s="9"/>
      <c r="C848" s="9"/>
      <c r="D848" s="9"/>
      <c r="E848" s="9"/>
      <c r="F848" s="9"/>
      <c r="G848" s="9"/>
      <c r="H848" s="9"/>
      <c r="I848" s="9"/>
      <c r="J848" s="9"/>
      <c r="K848" s="9"/>
    </row>
    <row r="849" spans="1:11" hidden="1" x14ac:dyDescent="0.3">
      <c r="A849" s="9"/>
      <c r="B849" s="9"/>
      <c r="C849" s="9"/>
      <c r="D849" s="9"/>
      <c r="E849" s="9"/>
      <c r="F849" s="9"/>
      <c r="G849" s="9"/>
      <c r="H849" s="9"/>
      <c r="I849" s="9"/>
      <c r="J849" s="9"/>
      <c r="K849" s="9"/>
    </row>
    <row r="850" spans="1:11" hidden="1" x14ac:dyDescent="0.3">
      <c r="A850" s="9"/>
      <c r="B850" s="9"/>
      <c r="C850" s="9"/>
      <c r="D850" s="9"/>
      <c r="E850" s="9"/>
      <c r="F850" s="9"/>
      <c r="G850" s="9"/>
      <c r="H850" s="9"/>
      <c r="I850" s="9"/>
      <c r="J850" s="9"/>
      <c r="K850" s="9"/>
    </row>
    <row r="851" spans="1:11" hidden="1" x14ac:dyDescent="0.3">
      <c r="A851" s="9"/>
      <c r="B851" s="9"/>
      <c r="C851" s="9"/>
      <c r="D851" s="9"/>
      <c r="E851" s="9"/>
      <c r="F851" s="9"/>
      <c r="G851" s="9"/>
      <c r="H851" s="9"/>
      <c r="I851" s="9"/>
      <c r="J851" s="9"/>
      <c r="K851" s="9"/>
    </row>
    <row r="852" spans="1:11" hidden="1" x14ac:dyDescent="0.3">
      <c r="A852" s="9"/>
      <c r="B852" s="9"/>
      <c r="C852" s="9"/>
      <c r="D852" s="9"/>
      <c r="E852" s="9"/>
      <c r="F852" s="9"/>
      <c r="G852" s="9"/>
      <c r="H852" s="9"/>
      <c r="I852" s="9"/>
      <c r="J852" s="9"/>
      <c r="K852" s="9"/>
    </row>
    <row r="853" spans="1:11" hidden="1" x14ac:dyDescent="0.3">
      <c r="A853" s="9"/>
      <c r="B853" s="9"/>
      <c r="C853" s="9"/>
      <c r="D853" s="9"/>
      <c r="E853" s="9"/>
      <c r="F853" s="9"/>
      <c r="G853" s="9"/>
      <c r="H853" s="9"/>
      <c r="I853" s="9"/>
      <c r="J853" s="9"/>
      <c r="K853" s="9"/>
    </row>
    <row r="854" spans="1:11" hidden="1" x14ac:dyDescent="0.3">
      <c r="A854" s="9"/>
      <c r="B854" s="9"/>
      <c r="C854" s="9"/>
      <c r="D854" s="9"/>
      <c r="E854" s="9"/>
      <c r="F854" s="9"/>
      <c r="G854" s="9"/>
      <c r="H854" s="9"/>
      <c r="I854" s="9"/>
      <c r="J854" s="9"/>
      <c r="K854" s="9"/>
    </row>
    <row r="855" spans="1:11" hidden="1" x14ac:dyDescent="0.3">
      <c r="A855" s="9"/>
      <c r="B855" s="9"/>
      <c r="C855" s="9"/>
      <c r="D855" s="9"/>
      <c r="E855" s="9"/>
      <c r="F855" s="9"/>
      <c r="G855" s="9"/>
      <c r="H855" s="9"/>
      <c r="I855" s="9"/>
      <c r="J855" s="9"/>
      <c r="K855" s="9"/>
    </row>
    <row r="856" spans="1:11" hidden="1" x14ac:dyDescent="0.3">
      <c r="A856" s="9"/>
      <c r="B856" s="9"/>
      <c r="C856" s="9"/>
      <c r="D856" s="9"/>
      <c r="E856" s="9"/>
      <c r="F856" s="9"/>
      <c r="G856" s="9"/>
      <c r="H856" s="9"/>
      <c r="I856" s="9"/>
      <c r="J856" s="9"/>
      <c r="K856" s="9"/>
    </row>
    <row r="857" spans="1:11" hidden="1" x14ac:dyDescent="0.3">
      <c r="A857" s="9"/>
      <c r="B857" s="9"/>
      <c r="C857" s="9"/>
      <c r="D857" s="9"/>
      <c r="E857" s="9"/>
      <c r="F857" s="9"/>
      <c r="G857" s="9"/>
      <c r="H857" s="9"/>
      <c r="I857" s="9"/>
      <c r="J857" s="9"/>
      <c r="K857" s="9"/>
    </row>
    <row r="858" spans="1:11" hidden="1" x14ac:dyDescent="0.3">
      <c r="A858" s="9"/>
      <c r="B858" s="9"/>
      <c r="C858" s="9"/>
      <c r="D858" s="9"/>
      <c r="E858" s="9"/>
      <c r="F858" s="9"/>
      <c r="G858" s="9"/>
      <c r="H858" s="9"/>
      <c r="I858" s="9"/>
      <c r="J858" s="9"/>
      <c r="K858" s="9"/>
    </row>
    <row r="859" spans="1:11" hidden="1" x14ac:dyDescent="0.3">
      <c r="A859" s="9"/>
      <c r="B859" s="9"/>
      <c r="C859" s="9"/>
      <c r="D859" s="9"/>
      <c r="E859" s="9"/>
      <c r="F859" s="9"/>
      <c r="G859" s="9"/>
      <c r="H859" s="9"/>
      <c r="I859" s="9"/>
      <c r="J859" s="9"/>
      <c r="K859" s="9"/>
    </row>
    <row r="860" spans="1:11" hidden="1" x14ac:dyDescent="0.3">
      <c r="A860" s="9"/>
      <c r="B860" s="9"/>
      <c r="C860" s="9"/>
      <c r="D860" s="9"/>
      <c r="E860" s="9"/>
      <c r="F860" s="9"/>
      <c r="G860" s="9"/>
      <c r="H860" s="9"/>
      <c r="I860" s="9"/>
      <c r="J860" s="9"/>
      <c r="K860" s="9"/>
    </row>
    <row r="861" spans="1:11" hidden="1" x14ac:dyDescent="0.3">
      <c r="A861" s="9"/>
      <c r="B861" s="9"/>
      <c r="C861" s="9"/>
      <c r="D861" s="9"/>
      <c r="E861" s="9"/>
      <c r="F861" s="9"/>
      <c r="G861" s="9"/>
      <c r="H861" s="9"/>
      <c r="I861" s="9"/>
      <c r="J861" s="9"/>
      <c r="K861" s="9"/>
    </row>
    <row r="862" spans="1:11" hidden="1" x14ac:dyDescent="0.3">
      <c r="A862" s="9"/>
      <c r="B862" s="9"/>
      <c r="C862" s="9"/>
      <c r="D862" s="9"/>
      <c r="E862" s="9"/>
      <c r="F862" s="9"/>
      <c r="G862" s="9"/>
      <c r="H862" s="9"/>
      <c r="I862" s="9"/>
      <c r="J862" s="9"/>
      <c r="K862" s="9"/>
    </row>
    <row r="863" spans="1:11" hidden="1" x14ac:dyDescent="0.3">
      <c r="A863" s="9"/>
      <c r="B863" s="9"/>
      <c r="C863" s="9"/>
      <c r="D863" s="9"/>
      <c r="E863" s="9"/>
      <c r="F863" s="9"/>
      <c r="G863" s="9"/>
      <c r="H863" s="9"/>
      <c r="I863" s="9"/>
      <c r="J863" s="9"/>
      <c r="K863" s="9"/>
    </row>
    <row r="864" spans="1:11" hidden="1" x14ac:dyDescent="0.3">
      <c r="A864" s="9"/>
      <c r="B864" s="9"/>
      <c r="C864" s="9"/>
      <c r="D864" s="9"/>
      <c r="E864" s="9"/>
      <c r="F864" s="9"/>
      <c r="G864" s="9"/>
      <c r="H864" s="9"/>
      <c r="I864" s="9"/>
      <c r="J864" s="9"/>
      <c r="K864" s="9"/>
    </row>
    <row r="865" spans="1:11" hidden="1" x14ac:dyDescent="0.3">
      <c r="A865" s="9"/>
      <c r="B865" s="9"/>
      <c r="C865" s="9"/>
      <c r="D865" s="9"/>
      <c r="E865" s="9"/>
      <c r="F865" s="9"/>
      <c r="G865" s="9"/>
      <c r="H865" s="9"/>
      <c r="I865" s="9"/>
      <c r="J865" s="9"/>
      <c r="K865" s="9"/>
    </row>
    <row r="866" spans="1:11" hidden="1" x14ac:dyDescent="0.3">
      <c r="A866" s="9"/>
      <c r="B866" s="9"/>
      <c r="C866" s="9"/>
      <c r="D866" s="9"/>
      <c r="E866" s="9"/>
      <c r="F866" s="9"/>
      <c r="G866" s="9"/>
      <c r="H866" s="9"/>
      <c r="I866" s="9"/>
      <c r="J866" s="9"/>
      <c r="K866" s="9"/>
    </row>
    <row r="867" spans="1:11" hidden="1" x14ac:dyDescent="0.3">
      <c r="A867" s="9"/>
      <c r="B867" s="9"/>
      <c r="C867" s="9"/>
      <c r="D867" s="9"/>
      <c r="E867" s="9"/>
      <c r="F867" s="9"/>
      <c r="G867" s="9"/>
      <c r="H867" s="9"/>
      <c r="I867" s="9"/>
      <c r="J867" s="9"/>
      <c r="K867" s="9"/>
    </row>
    <row r="868" spans="1:11" hidden="1" x14ac:dyDescent="0.3">
      <c r="A868" s="9"/>
      <c r="B868" s="9"/>
      <c r="C868" s="9"/>
      <c r="D868" s="9"/>
      <c r="E868" s="9"/>
      <c r="F868" s="9"/>
      <c r="G868" s="9"/>
      <c r="H868" s="9"/>
      <c r="I868" s="9"/>
      <c r="J868" s="9"/>
      <c r="K868" s="9"/>
    </row>
    <row r="869" spans="1:11" hidden="1" x14ac:dyDescent="0.3">
      <c r="A869" s="9"/>
      <c r="B869" s="9"/>
      <c r="C869" s="9"/>
      <c r="D869" s="9"/>
      <c r="E869" s="9"/>
      <c r="F869" s="9"/>
      <c r="G869" s="9"/>
      <c r="H869" s="9"/>
      <c r="I869" s="9"/>
      <c r="J869" s="9"/>
      <c r="K869" s="9"/>
    </row>
    <row r="870" spans="1:11" hidden="1" x14ac:dyDescent="0.3">
      <c r="A870" s="9"/>
      <c r="B870" s="9"/>
      <c r="C870" s="9"/>
      <c r="D870" s="9"/>
      <c r="E870" s="9"/>
      <c r="F870" s="9"/>
      <c r="G870" s="9"/>
      <c r="H870" s="9"/>
      <c r="I870" s="9"/>
      <c r="J870" s="9"/>
      <c r="K870" s="9"/>
    </row>
    <row r="871" spans="1:11" hidden="1" x14ac:dyDescent="0.3">
      <c r="A871" s="9"/>
      <c r="B871" s="9"/>
      <c r="C871" s="9"/>
      <c r="D871" s="9"/>
      <c r="E871" s="9"/>
      <c r="F871" s="9"/>
      <c r="G871" s="9"/>
      <c r="H871" s="9"/>
      <c r="I871" s="9"/>
      <c r="J871" s="9"/>
      <c r="K871" s="9"/>
    </row>
    <row r="872" spans="1:11" hidden="1" x14ac:dyDescent="0.3">
      <c r="A872" s="9"/>
      <c r="B872" s="9"/>
      <c r="C872" s="9"/>
      <c r="D872" s="9"/>
      <c r="E872" s="9"/>
      <c r="F872" s="9"/>
      <c r="G872" s="9"/>
      <c r="H872" s="9"/>
      <c r="I872" s="9"/>
      <c r="J872" s="9"/>
      <c r="K872" s="9"/>
    </row>
    <row r="873" spans="1:11" hidden="1" x14ac:dyDescent="0.3">
      <c r="A873" s="9"/>
      <c r="B873" s="9"/>
      <c r="C873" s="9"/>
      <c r="D873" s="9"/>
      <c r="E873" s="9"/>
      <c r="F873" s="9"/>
      <c r="G873" s="9"/>
      <c r="H873" s="9"/>
      <c r="I873" s="9"/>
      <c r="J873" s="9"/>
      <c r="K873" s="9"/>
    </row>
    <row r="874" spans="1:11" hidden="1" x14ac:dyDescent="0.3">
      <c r="A874" s="9"/>
      <c r="B874" s="9"/>
      <c r="C874" s="9"/>
      <c r="D874" s="9"/>
      <c r="E874" s="9"/>
      <c r="F874" s="9"/>
      <c r="G874" s="9"/>
      <c r="H874" s="9"/>
      <c r="I874" s="9"/>
      <c r="J874" s="9"/>
      <c r="K874" s="9"/>
    </row>
    <row r="875" spans="1:11" hidden="1" x14ac:dyDescent="0.3">
      <c r="A875" s="9"/>
      <c r="B875" s="9"/>
      <c r="C875" s="9"/>
      <c r="D875" s="9"/>
      <c r="E875" s="9"/>
      <c r="F875" s="9"/>
      <c r="G875" s="9"/>
      <c r="H875" s="9"/>
      <c r="I875" s="9"/>
      <c r="J875" s="9"/>
      <c r="K875" s="9"/>
    </row>
    <row r="876" spans="1:11" hidden="1" x14ac:dyDescent="0.3">
      <c r="A876" s="9"/>
      <c r="B876" s="9"/>
      <c r="C876" s="9"/>
      <c r="D876" s="9"/>
      <c r="E876" s="9"/>
      <c r="F876" s="9"/>
      <c r="G876" s="9"/>
      <c r="H876" s="9"/>
      <c r="I876" s="9"/>
      <c r="J876" s="9"/>
      <c r="K876" s="9"/>
    </row>
    <row r="877" spans="1:11" hidden="1" x14ac:dyDescent="0.3">
      <c r="A877" s="9"/>
      <c r="B877" s="9"/>
      <c r="C877" s="9"/>
      <c r="D877" s="9"/>
      <c r="E877" s="9"/>
      <c r="F877" s="9"/>
      <c r="G877" s="9"/>
      <c r="H877" s="9"/>
      <c r="I877" s="9"/>
      <c r="J877" s="9"/>
      <c r="K877" s="9"/>
    </row>
    <row r="878" spans="1:11" hidden="1" x14ac:dyDescent="0.3">
      <c r="A878" s="9"/>
      <c r="B878" s="9"/>
      <c r="C878" s="9"/>
      <c r="D878" s="9"/>
      <c r="E878" s="9"/>
      <c r="F878" s="9"/>
      <c r="G878" s="9"/>
      <c r="H878" s="9"/>
      <c r="I878" s="9"/>
      <c r="J878" s="9"/>
      <c r="K878" s="9"/>
    </row>
    <row r="879" spans="1:11" hidden="1" x14ac:dyDescent="0.3">
      <c r="A879" s="9"/>
      <c r="B879" s="9"/>
      <c r="C879" s="9"/>
      <c r="D879" s="9"/>
      <c r="E879" s="9"/>
      <c r="F879" s="9"/>
      <c r="G879" s="9"/>
      <c r="H879" s="9"/>
      <c r="I879" s="9"/>
      <c r="J879" s="9"/>
      <c r="K879" s="9"/>
    </row>
    <row r="880" spans="1:11" hidden="1" x14ac:dyDescent="0.3">
      <c r="A880" s="9"/>
      <c r="B880" s="9"/>
      <c r="C880" s="9"/>
      <c r="D880" s="9"/>
      <c r="E880" s="9"/>
      <c r="F880" s="9"/>
      <c r="G880" s="9"/>
      <c r="H880" s="9"/>
      <c r="I880" s="9"/>
      <c r="J880" s="9"/>
      <c r="K880" s="9"/>
    </row>
    <row r="881" spans="1:11" hidden="1" x14ac:dyDescent="0.3">
      <c r="A881" s="9"/>
      <c r="B881" s="9"/>
      <c r="C881" s="9"/>
      <c r="D881" s="9"/>
      <c r="E881" s="9"/>
      <c r="F881" s="9"/>
      <c r="G881" s="9"/>
      <c r="H881" s="9"/>
      <c r="I881" s="9"/>
      <c r="J881" s="9"/>
      <c r="K881" s="9"/>
    </row>
    <row r="882" spans="1:11" hidden="1" x14ac:dyDescent="0.3">
      <c r="A882" s="9"/>
      <c r="B882" s="9"/>
      <c r="C882" s="9"/>
      <c r="D882" s="9"/>
      <c r="E882" s="9"/>
      <c r="F882" s="9"/>
      <c r="G882" s="9"/>
      <c r="H882" s="9"/>
      <c r="I882" s="9"/>
      <c r="J882" s="9"/>
      <c r="K882" s="9"/>
    </row>
    <row r="883" spans="1:11" hidden="1" x14ac:dyDescent="0.3">
      <c r="A883" s="9"/>
      <c r="B883" s="9"/>
      <c r="C883" s="9"/>
      <c r="D883" s="9"/>
      <c r="E883" s="9"/>
      <c r="F883" s="9"/>
      <c r="G883" s="9"/>
      <c r="H883" s="9"/>
      <c r="I883" s="9"/>
      <c r="J883" s="9"/>
      <c r="K883" s="9"/>
    </row>
    <row r="884" spans="1:11" hidden="1" x14ac:dyDescent="0.3">
      <c r="A884" s="9"/>
      <c r="B884" s="9"/>
      <c r="C884" s="9"/>
      <c r="D884" s="9"/>
      <c r="E884" s="9"/>
      <c r="F884" s="9"/>
      <c r="G884" s="9"/>
      <c r="H884" s="9"/>
      <c r="I884" s="9"/>
      <c r="J884" s="9"/>
      <c r="K884" s="9"/>
    </row>
    <row r="885" spans="1:11" hidden="1" x14ac:dyDescent="0.3">
      <c r="A885" s="9"/>
      <c r="B885" s="9"/>
      <c r="C885" s="9"/>
      <c r="D885" s="9"/>
      <c r="E885" s="9"/>
      <c r="F885" s="9"/>
      <c r="G885" s="9"/>
      <c r="H885" s="9"/>
      <c r="I885" s="9"/>
      <c r="J885" s="9"/>
      <c r="K885" s="9"/>
    </row>
    <row r="886" spans="1:11" hidden="1" x14ac:dyDescent="0.3">
      <c r="A886" s="9"/>
      <c r="B886" s="9"/>
      <c r="C886" s="9"/>
      <c r="D886" s="9"/>
      <c r="E886" s="9"/>
      <c r="F886" s="9"/>
      <c r="G886" s="9"/>
      <c r="H886" s="9"/>
      <c r="I886" s="9"/>
      <c r="J886" s="9"/>
      <c r="K886" s="9"/>
    </row>
    <row r="887" spans="1:11" hidden="1" x14ac:dyDescent="0.3">
      <c r="A887" s="9"/>
      <c r="B887" s="9"/>
      <c r="C887" s="9"/>
      <c r="D887" s="9"/>
      <c r="E887" s="9"/>
      <c r="F887" s="9"/>
      <c r="G887" s="9"/>
      <c r="H887" s="9"/>
      <c r="I887" s="9"/>
      <c r="J887" s="9"/>
      <c r="K887" s="9"/>
    </row>
    <row r="888" spans="1:11" hidden="1" x14ac:dyDescent="0.3">
      <c r="A888" s="9"/>
      <c r="B888" s="9"/>
      <c r="C888" s="9"/>
      <c r="D888" s="9"/>
      <c r="E888" s="9"/>
      <c r="F888" s="9"/>
      <c r="G888" s="9"/>
      <c r="H888" s="9"/>
      <c r="I888" s="9"/>
      <c r="J888" s="9"/>
      <c r="K888" s="9"/>
    </row>
    <row r="889" spans="1:11" hidden="1" x14ac:dyDescent="0.3">
      <c r="A889" s="9"/>
      <c r="B889" s="9"/>
      <c r="C889" s="9"/>
      <c r="D889" s="9"/>
      <c r="E889" s="9"/>
      <c r="F889" s="9"/>
      <c r="G889" s="9"/>
      <c r="H889" s="9"/>
      <c r="I889" s="9"/>
      <c r="J889" s="9"/>
      <c r="K889" s="9"/>
    </row>
    <row r="890" spans="1:11" hidden="1" x14ac:dyDescent="0.3">
      <c r="A890" s="9"/>
      <c r="B890" s="9"/>
      <c r="C890" s="9"/>
      <c r="D890" s="9"/>
      <c r="E890" s="9"/>
      <c r="F890" s="9"/>
      <c r="G890" s="9"/>
      <c r="H890" s="9"/>
      <c r="I890" s="9"/>
      <c r="J890" s="9"/>
      <c r="K890" s="9"/>
    </row>
    <row r="891" spans="1:11" hidden="1" x14ac:dyDescent="0.3">
      <c r="A891" s="9"/>
      <c r="B891" s="9"/>
      <c r="C891" s="9"/>
      <c r="D891" s="9"/>
      <c r="E891" s="9"/>
      <c r="F891" s="9"/>
      <c r="G891" s="9"/>
      <c r="H891" s="9"/>
      <c r="I891" s="9"/>
      <c r="J891" s="9"/>
      <c r="K891" s="9"/>
    </row>
    <row r="892" spans="1:11" hidden="1" x14ac:dyDescent="0.3">
      <c r="A892" s="9"/>
      <c r="B892" s="9"/>
      <c r="C892" s="9"/>
      <c r="D892" s="9"/>
      <c r="E892" s="9"/>
      <c r="F892" s="9"/>
      <c r="G892" s="9"/>
      <c r="H892" s="9"/>
      <c r="I892" s="9"/>
      <c r="J892" s="9"/>
      <c r="K892" s="9"/>
    </row>
    <row r="893" spans="1:11" hidden="1" x14ac:dyDescent="0.3">
      <c r="A893" s="9"/>
      <c r="B893" s="9"/>
      <c r="C893" s="9"/>
      <c r="D893" s="9"/>
      <c r="E893" s="9"/>
      <c r="F893" s="9"/>
      <c r="G893" s="9"/>
      <c r="H893" s="9"/>
      <c r="I893" s="9"/>
      <c r="J893" s="9"/>
      <c r="K893" s="9"/>
    </row>
    <row r="894" spans="1:11" hidden="1" x14ac:dyDescent="0.3">
      <c r="A894" s="9"/>
      <c r="B894" s="9"/>
      <c r="C894" s="9"/>
      <c r="D894" s="9"/>
      <c r="E894" s="9"/>
      <c r="F894" s="9"/>
      <c r="G894" s="9"/>
      <c r="H894" s="9"/>
      <c r="I894" s="9"/>
      <c r="J894" s="9"/>
      <c r="K894" s="9"/>
    </row>
    <row r="895" spans="1:11" hidden="1" x14ac:dyDescent="0.3">
      <c r="A895" s="9"/>
      <c r="B895" s="9"/>
      <c r="C895" s="9"/>
      <c r="D895" s="9"/>
      <c r="E895" s="9"/>
      <c r="F895" s="9"/>
      <c r="G895" s="9"/>
      <c r="H895" s="9"/>
      <c r="I895" s="9"/>
      <c r="J895" s="9"/>
      <c r="K895" s="9"/>
    </row>
    <row r="896" spans="1:11" hidden="1" x14ac:dyDescent="0.3">
      <c r="A896" s="9"/>
      <c r="B896" s="9"/>
      <c r="C896" s="9"/>
      <c r="D896" s="9"/>
      <c r="E896" s="9"/>
      <c r="F896" s="9"/>
      <c r="G896" s="9"/>
      <c r="H896" s="9"/>
      <c r="I896" s="9"/>
      <c r="J896" s="9"/>
      <c r="K896" s="9"/>
    </row>
    <row r="897" spans="1:11" hidden="1" x14ac:dyDescent="0.3">
      <c r="A897" s="9"/>
      <c r="B897" s="9"/>
      <c r="C897" s="9"/>
      <c r="D897" s="9"/>
      <c r="E897" s="9"/>
      <c r="F897" s="9"/>
      <c r="G897" s="9"/>
      <c r="H897" s="9"/>
      <c r="I897" s="9"/>
      <c r="J897" s="9"/>
      <c r="K897" s="9"/>
    </row>
    <row r="898" spans="1:11" hidden="1" x14ac:dyDescent="0.3">
      <c r="A898" s="9"/>
      <c r="B898" s="9"/>
      <c r="C898" s="9"/>
      <c r="D898" s="9"/>
      <c r="E898" s="9"/>
      <c r="F898" s="9"/>
      <c r="G898" s="9"/>
      <c r="H898" s="9"/>
      <c r="I898" s="9"/>
      <c r="J898" s="9"/>
      <c r="K898" s="9"/>
    </row>
    <row r="899" spans="1:11" hidden="1" x14ac:dyDescent="0.3">
      <c r="A899" s="9"/>
      <c r="B899" s="9"/>
      <c r="C899" s="9"/>
      <c r="D899" s="9"/>
      <c r="E899" s="9"/>
      <c r="F899" s="9"/>
      <c r="G899" s="9"/>
      <c r="H899" s="9"/>
      <c r="I899" s="9"/>
      <c r="J899" s="9"/>
      <c r="K899" s="9"/>
    </row>
    <row r="900" spans="1:11" hidden="1" x14ac:dyDescent="0.3">
      <c r="A900" s="9"/>
      <c r="B900" s="9"/>
      <c r="C900" s="9"/>
      <c r="D900" s="9"/>
      <c r="E900" s="9"/>
      <c r="F900" s="9"/>
      <c r="G900" s="9"/>
      <c r="H900" s="9"/>
      <c r="I900" s="9"/>
      <c r="J900" s="9"/>
      <c r="K900" s="9"/>
    </row>
    <row r="901" spans="1:11" hidden="1" x14ac:dyDescent="0.3">
      <c r="A901" s="9"/>
      <c r="B901" s="9"/>
      <c r="C901" s="9"/>
      <c r="D901" s="9"/>
      <c r="E901" s="9"/>
      <c r="F901" s="9"/>
      <c r="G901" s="9"/>
      <c r="H901" s="9"/>
      <c r="I901" s="9"/>
      <c r="J901" s="9"/>
      <c r="K901" s="9"/>
    </row>
    <row r="902" spans="1:11" hidden="1" x14ac:dyDescent="0.3">
      <c r="A902" s="9"/>
      <c r="B902" s="9"/>
      <c r="C902" s="9"/>
      <c r="D902" s="9"/>
      <c r="E902" s="9"/>
      <c r="F902" s="9"/>
      <c r="G902" s="9"/>
      <c r="H902" s="9"/>
      <c r="I902" s="9"/>
      <c r="J902" s="9"/>
      <c r="K902" s="9"/>
    </row>
    <row r="903" spans="1:11" hidden="1" x14ac:dyDescent="0.3">
      <c r="A903" s="9"/>
      <c r="B903" s="9"/>
      <c r="C903" s="9"/>
      <c r="D903" s="9"/>
      <c r="E903" s="9"/>
      <c r="F903" s="9"/>
      <c r="G903" s="9"/>
      <c r="H903" s="9"/>
      <c r="I903" s="9"/>
      <c r="J903" s="9"/>
      <c r="K903" s="9"/>
    </row>
    <row r="904" spans="1:11" hidden="1" x14ac:dyDescent="0.3">
      <c r="A904" s="9"/>
      <c r="B904" s="9"/>
      <c r="C904" s="9"/>
      <c r="D904" s="9"/>
      <c r="E904" s="9"/>
      <c r="F904" s="9"/>
      <c r="G904" s="9"/>
      <c r="H904" s="9"/>
      <c r="I904" s="9"/>
      <c r="J904" s="9"/>
      <c r="K904" s="9"/>
    </row>
    <row r="905" spans="1:11" hidden="1" x14ac:dyDescent="0.3">
      <c r="A905" s="9"/>
      <c r="B905" s="9"/>
      <c r="C905" s="9"/>
      <c r="D905" s="9"/>
      <c r="E905" s="9"/>
      <c r="F905" s="9"/>
      <c r="G905" s="9"/>
      <c r="H905" s="9"/>
      <c r="I905" s="9"/>
      <c r="J905" s="9"/>
      <c r="K905" s="9"/>
    </row>
    <row r="906" spans="1:11" hidden="1" x14ac:dyDescent="0.3">
      <c r="A906" s="9"/>
      <c r="B906" s="9"/>
      <c r="C906" s="9"/>
      <c r="D906" s="9"/>
      <c r="E906" s="9"/>
      <c r="F906" s="9"/>
      <c r="G906" s="9"/>
      <c r="H906" s="9"/>
      <c r="I906" s="9"/>
      <c r="J906" s="9"/>
      <c r="K906" s="9"/>
    </row>
    <row r="907" spans="1:11" hidden="1" x14ac:dyDescent="0.3">
      <c r="A907" s="9"/>
      <c r="B907" s="9"/>
      <c r="C907" s="9"/>
      <c r="D907" s="9"/>
      <c r="E907" s="9"/>
      <c r="F907" s="9"/>
      <c r="G907" s="9"/>
      <c r="H907" s="9"/>
      <c r="I907" s="9"/>
      <c r="J907" s="9"/>
      <c r="K907" s="9"/>
    </row>
    <row r="908" spans="1:11" hidden="1" x14ac:dyDescent="0.3">
      <c r="A908" s="9"/>
      <c r="B908" s="9"/>
      <c r="C908" s="9"/>
      <c r="D908" s="9"/>
      <c r="E908" s="9"/>
      <c r="F908" s="9"/>
      <c r="G908" s="9"/>
      <c r="H908" s="9"/>
      <c r="I908" s="9"/>
      <c r="J908" s="9"/>
      <c r="K908" s="9"/>
    </row>
    <row r="909" spans="1:11" hidden="1" x14ac:dyDescent="0.3">
      <c r="A909" s="9"/>
      <c r="B909" s="9"/>
      <c r="C909" s="9"/>
      <c r="D909" s="9"/>
      <c r="E909" s="9"/>
      <c r="F909" s="9"/>
      <c r="G909" s="9"/>
      <c r="H909" s="9"/>
      <c r="I909" s="9"/>
      <c r="J909" s="9"/>
      <c r="K909" s="9"/>
    </row>
    <row r="910" spans="1:11" hidden="1" x14ac:dyDescent="0.3">
      <c r="A910" s="9"/>
      <c r="B910" s="9"/>
      <c r="C910" s="9"/>
      <c r="D910" s="9"/>
      <c r="E910" s="9"/>
      <c r="F910" s="9"/>
      <c r="G910" s="9"/>
      <c r="H910" s="9"/>
      <c r="I910" s="9"/>
      <c r="J910" s="9"/>
      <c r="K910" s="9"/>
    </row>
    <row r="911" spans="1:11" hidden="1" x14ac:dyDescent="0.3">
      <c r="A911" s="9"/>
      <c r="B911" s="9"/>
      <c r="C911" s="9"/>
      <c r="D911" s="9"/>
      <c r="E911" s="9"/>
      <c r="F911" s="9"/>
      <c r="G911" s="9"/>
      <c r="H911" s="9"/>
      <c r="I911" s="9"/>
      <c r="J911" s="9"/>
      <c r="K911" s="9"/>
    </row>
    <row r="912" spans="1:11" hidden="1" x14ac:dyDescent="0.3">
      <c r="A912" s="9"/>
      <c r="B912" s="9"/>
      <c r="C912" s="9"/>
      <c r="D912" s="9"/>
      <c r="E912" s="9"/>
      <c r="F912" s="9"/>
      <c r="G912" s="9"/>
      <c r="H912" s="9"/>
      <c r="I912" s="9"/>
      <c r="J912" s="9"/>
      <c r="K912" s="9"/>
    </row>
    <row r="913" spans="1:11" hidden="1" x14ac:dyDescent="0.3">
      <c r="A913" s="9"/>
      <c r="B913" s="9"/>
      <c r="C913" s="9"/>
      <c r="D913" s="9"/>
      <c r="E913" s="9"/>
      <c r="F913" s="9"/>
      <c r="G913" s="9"/>
      <c r="H913" s="9"/>
      <c r="I913" s="9"/>
      <c r="J913" s="9"/>
      <c r="K913" s="9"/>
    </row>
    <row r="914" spans="1:11" hidden="1" x14ac:dyDescent="0.3">
      <c r="A914" s="9"/>
      <c r="B914" s="9"/>
      <c r="C914" s="9"/>
      <c r="D914" s="9"/>
      <c r="E914" s="9"/>
      <c r="F914" s="9"/>
      <c r="G914" s="9"/>
      <c r="H914" s="9"/>
      <c r="I914" s="9"/>
      <c r="J914" s="9"/>
      <c r="K914" s="9"/>
    </row>
    <row r="915" spans="1:11" hidden="1" x14ac:dyDescent="0.3">
      <c r="A915" s="9"/>
      <c r="B915" s="9"/>
      <c r="C915" s="9"/>
      <c r="D915" s="9"/>
      <c r="E915" s="9"/>
      <c r="F915" s="9"/>
      <c r="G915" s="9"/>
      <c r="H915" s="9"/>
      <c r="I915" s="9"/>
      <c r="J915" s="9"/>
      <c r="K915" s="9"/>
    </row>
    <row r="916" spans="1:11" hidden="1" x14ac:dyDescent="0.3">
      <c r="A916" s="9"/>
      <c r="B916" s="9"/>
      <c r="C916" s="9"/>
      <c r="D916" s="9"/>
      <c r="E916" s="9"/>
      <c r="F916" s="9"/>
      <c r="G916" s="9"/>
      <c r="H916" s="9"/>
      <c r="I916" s="9"/>
      <c r="J916" s="9"/>
      <c r="K916" s="9"/>
    </row>
    <row r="917" spans="1:11" hidden="1" x14ac:dyDescent="0.3">
      <c r="A917" s="9"/>
      <c r="B917" s="9"/>
      <c r="C917" s="9"/>
      <c r="D917" s="9"/>
      <c r="E917" s="9"/>
      <c r="F917" s="9"/>
      <c r="G917" s="9"/>
      <c r="H917" s="9"/>
      <c r="I917" s="9"/>
      <c r="J917" s="9"/>
      <c r="K917" s="9"/>
    </row>
    <row r="918" spans="1:11" hidden="1" x14ac:dyDescent="0.3">
      <c r="A918" s="9"/>
      <c r="B918" s="9"/>
      <c r="C918" s="9"/>
      <c r="D918" s="9"/>
      <c r="E918" s="9"/>
      <c r="F918" s="9"/>
      <c r="G918" s="9"/>
      <c r="H918" s="9"/>
      <c r="I918" s="9"/>
      <c r="J918" s="9"/>
      <c r="K918" s="9"/>
    </row>
    <row r="919" spans="1:11" hidden="1" x14ac:dyDescent="0.3">
      <c r="A919" s="9"/>
      <c r="B919" s="9"/>
      <c r="C919" s="9"/>
      <c r="D919" s="9"/>
      <c r="E919" s="9"/>
      <c r="F919" s="9"/>
      <c r="G919" s="9"/>
      <c r="H919" s="9"/>
      <c r="I919" s="9"/>
      <c r="J919" s="9"/>
      <c r="K919" s="9"/>
    </row>
    <row r="920" spans="1:11" hidden="1" x14ac:dyDescent="0.3">
      <c r="A920" s="9"/>
      <c r="B920" s="9"/>
      <c r="C920" s="9"/>
      <c r="D920" s="9"/>
      <c r="E920" s="9"/>
      <c r="F920" s="9"/>
      <c r="G920" s="9"/>
      <c r="H920" s="9"/>
      <c r="I920" s="9"/>
      <c r="J920" s="9"/>
      <c r="K920" s="9"/>
    </row>
    <row r="921" spans="1:11" hidden="1" x14ac:dyDescent="0.3">
      <c r="A921" s="9"/>
      <c r="B921" s="9"/>
      <c r="C921" s="9"/>
      <c r="D921" s="9"/>
      <c r="E921" s="9"/>
      <c r="F921" s="9"/>
      <c r="G921" s="9"/>
      <c r="H921" s="9"/>
      <c r="I921" s="9"/>
      <c r="J921" s="9"/>
      <c r="K921" s="9"/>
    </row>
    <row r="922" spans="1:11" hidden="1" x14ac:dyDescent="0.3">
      <c r="A922" s="9"/>
      <c r="B922" s="9"/>
      <c r="C922" s="9"/>
      <c r="D922" s="9"/>
      <c r="E922" s="9"/>
      <c r="F922" s="9"/>
      <c r="G922" s="9"/>
      <c r="H922" s="9"/>
      <c r="I922" s="9"/>
      <c r="J922" s="9"/>
      <c r="K922" s="9"/>
    </row>
    <row r="923" spans="1:11" hidden="1" x14ac:dyDescent="0.3">
      <c r="A923" s="9"/>
      <c r="B923" s="9"/>
      <c r="C923" s="9"/>
      <c r="D923" s="9"/>
      <c r="E923" s="9"/>
      <c r="F923" s="9"/>
      <c r="G923" s="9"/>
      <c r="H923" s="9"/>
      <c r="I923" s="9"/>
      <c r="J923" s="9"/>
      <c r="K923" s="9"/>
    </row>
    <row r="924" spans="1:11" hidden="1" x14ac:dyDescent="0.3">
      <c r="A924" s="9"/>
      <c r="B924" s="9"/>
      <c r="C924" s="9"/>
      <c r="D924" s="9"/>
      <c r="E924" s="9"/>
      <c r="F924" s="9"/>
      <c r="G924" s="9"/>
      <c r="H924" s="9"/>
      <c r="I924" s="9"/>
      <c r="J924" s="9"/>
      <c r="K924" s="9"/>
    </row>
    <row r="925" spans="1:11" hidden="1" x14ac:dyDescent="0.3">
      <c r="A925" s="9"/>
      <c r="B925" s="9"/>
      <c r="C925" s="9"/>
      <c r="D925" s="9"/>
      <c r="E925" s="9"/>
      <c r="F925" s="9"/>
      <c r="G925" s="9"/>
      <c r="H925" s="9"/>
      <c r="I925" s="9"/>
      <c r="J925" s="9"/>
      <c r="K925" s="9"/>
    </row>
    <row r="926" spans="1:11" hidden="1" x14ac:dyDescent="0.3">
      <c r="A926" s="9"/>
      <c r="B926" s="9"/>
      <c r="C926" s="9"/>
      <c r="D926" s="9"/>
      <c r="E926" s="9"/>
      <c r="F926" s="9"/>
      <c r="G926" s="9"/>
      <c r="H926" s="9"/>
      <c r="I926" s="9"/>
      <c r="J926" s="9"/>
      <c r="K926" s="9"/>
    </row>
    <row r="927" spans="1:11" hidden="1" x14ac:dyDescent="0.3">
      <c r="A927" s="9"/>
      <c r="B927" s="9"/>
      <c r="C927" s="9"/>
      <c r="D927" s="9"/>
      <c r="E927" s="9"/>
      <c r="F927" s="9"/>
      <c r="G927" s="9"/>
      <c r="H927" s="9"/>
      <c r="I927" s="9"/>
      <c r="J927" s="9"/>
      <c r="K927" s="9"/>
    </row>
    <row r="928" spans="1:11" hidden="1" x14ac:dyDescent="0.3">
      <c r="A928" s="9"/>
      <c r="B928" s="9"/>
      <c r="C928" s="9"/>
      <c r="D928" s="9"/>
      <c r="E928" s="9"/>
      <c r="F928" s="9"/>
      <c r="G928" s="9"/>
      <c r="H928" s="9"/>
      <c r="I928" s="9"/>
      <c r="J928" s="9"/>
      <c r="K928" s="9"/>
    </row>
    <row r="929" spans="1:11" hidden="1" x14ac:dyDescent="0.3">
      <c r="A929" s="9"/>
      <c r="B929" s="9"/>
      <c r="C929" s="9"/>
      <c r="D929" s="9"/>
      <c r="E929" s="9"/>
      <c r="F929" s="9"/>
      <c r="G929" s="9"/>
      <c r="H929" s="9"/>
      <c r="I929" s="9"/>
      <c r="J929" s="9"/>
      <c r="K929" s="9"/>
    </row>
    <row r="930" spans="1:11" hidden="1" x14ac:dyDescent="0.3">
      <c r="A930" s="9"/>
      <c r="B930" s="9"/>
      <c r="C930" s="9"/>
      <c r="D930" s="9"/>
      <c r="E930" s="9"/>
      <c r="F930" s="9"/>
      <c r="G930" s="9"/>
      <c r="H930" s="9"/>
      <c r="I930" s="9"/>
      <c r="J930" s="9"/>
      <c r="K930" s="9"/>
    </row>
    <row r="931" spans="1:11" hidden="1" x14ac:dyDescent="0.3">
      <c r="A931" s="9"/>
      <c r="B931" s="9"/>
      <c r="C931" s="9"/>
      <c r="D931" s="9"/>
      <c r="E931" s="9"/>
      <c r="F931" s="9"/>
      <c r="G931" s="9"/>
      <c r="H931" s="9"/>
      <c r="I931" s="9"/>
      <c r="J931" s="9"/>
      <c r="K931" s="9"/>
    </row>
    <row r="932" spans="1:11" hidden="1" x14ac:dyDescent="0.3">
      <c r="A932" s="9"/>
      <c r="B932" s="9"/>
      <c r="C932" s="9"/>
      <c r="D932" s="9"/>
      <c r="E932" s="9"/>
      <c r="F932" s="9"/>
      <c r="G932" s="9"/>
      <c r="H932" s="9"/>
      <c r="I932" s="9"/>
      <c r="J932" s="9"/>
      <c r="K932" s="9"/>
    </row>
    <row r="933" spans="1:11" hidden="1" x14ac:dyDescent="0.3">
      <c r="A933" s="9"/>
      <c r="B933" s="9"/>
      <c r="C933" s="9"/>
      <c r="D933" s="9"/>
      <c r="E933" s="9"/>
      <c r="F933" s="9"/>
      <c r="G933" s="9"/>
      <c r="H933" s="9"/>
      <c r="I933" s="9"/>
      <c r="J933" s="9"/>
      <c r="K933" s="9"/>
    </row>
    <row r="934" spans="1:11" hidden="1" x14ac:dyDescent="0.3">
      <c r="A934" s="9"/>
      <c r="B934" s="9"/>
      <c r="C934" s="9"/>
      <c r="D934" s="9"/>
      <c r="E934" s="9"/>
      <c r="F934" s="9"/>
      <c r="G934" s="9"/>
      <c r="H934" s="9"/>
      <c r="I934" s="9"/>
      <c r="J934" s="9"/>
      <c r="K934" s="9"/>
    </row>
    <row r="935" spans="1:11" hidden="1" x14ac:dyDescent="0.3">
      <c r="A935" s="9"/>
      <c r="B935" s="9"/>
      <c r="C935" s="9"/>
      <c r="D935" s="9"/>
      <c r="E935" s="9"/>
      <c r="F935" s="9"/>
      <c r="G935" s="9"/>
      <c r="H935" s="9"/>
      <c r="I935" s="9"/>
      <c r="J935" s="9"/>
      <c r="K935" s="9"/>
    </row>
    <row r="936" spans="1:11" hidden="1" x14ac:dyDescent="0.3">
      <c r="A936" s="9"/>
      <c r="B936" s="9"/>
      <c r="C936" s="9"/>
      <c r="D936" s="9"/>
      <c r="E936" s="9"/>
      <c r="F936" s="9"/>
      <c r="G936" s="9"/>
      <c r="H936" s="9"/>
      <c r="I936" s="9"/>
      <c r="J936" s="9"/>
      <c r="K936" s="9"/>
    </row>
    <row r="937" spans="1:11" hidden="1" x14ac:dyDescent="0.3">
      <c r="A937" s="9"/>
      <c r="B937" s="9"/>
      <c r="C937" s="9"/>
      <c r="D937" s="9"/>
      <c r="E937" s="9"/>
      <c r="F937" s="9"/>
      <c r="G937" s="9"/>
      <c r="H937" s="9"/>
      <c r="I937" s="9"/>
      <c r="J937" s="9"/>
      <c r="K937" s="9"/>
    </row>
    <row r="938" spans="1:11" hidden="1" x14ac:dyDescent="0.3">
      <c r="A938" s="9"/>
      <c r="B938" s="9"/>
      <c r="C938" s="9"/>
      <c r="D938" s="9"/>
      <c r="E938" s="9"/>
      <c r="F938" s="9"/>
      <c r="G938" s="9"/>
      <c r="H938" s="9"/>
      <c r="I938" s="9"/>
      <c r="J938" s="9"/>
      <c r="K938" s="9"/>
    </row>
    <row r="939" spans="1:11" hidden="1" x14ac:dyDescent="0.3">
      <c r="A939" s="9"/>
      <c r="B939" s="9"/>
      <c r="C939" s="9"/>
      <c r="D939" s="9"/>
      <c r="E939" s="9"/>
      <c r="F939" s="9"/>
      <c r="G939" s="9"/>
      <c r="H939" s="9"/>
      <c r="I939" s="9"/>
      <c r="J939" s="9"/>
      <c r="K939" s="9"/>
    </row>
    <row r="940" spans="1:11" hidden="1" x14ac:dyDescent="0.3">
      <c r="A940" s="9"/>
      <c r="B940" s="9"/>
      <c r="C940" s="9"/>
      <c r="D940" s="9"/>
      <c r="E940" s="9"/>
      <c r="F940" s="9"/>
      <c r="G940" s="9"/>
      <c r="H940" s="9"/>
      <c r="I940" s="9"/>
      <c r="J940" s="9"/>
      <c r="K940" s="9"/>
    </row>
    <row r="941" spans="1:11" hidden="1" x14ac:dyDescent="0.3">
      <c r="A941" s="9"/>
      <c r="B941" s="9"/>
      <c r="C941" s="9"/>
      <c r="D941" s="9"/>
      <c r="E941" s="9"/>
      <c r="F941" s="9"/>
      <c r="G941" s="9"/>
      <c r="H941" s="9"/>
      <c r="I941" s="9"/>
      <c r="J941" s="9"/>
      <c r="K941" s="9"/>
    </row>
    <row r="942" spans="1:11" hidden="1" x14ac:dyDescent="0.3">
      <c r="A942" s="9"/>
      <c r="B942" s="9"/>
      <c r="C942" s="9"/>
      <c r="D942" s="9"/>
      <c r="E942" s="9"/>
      <c r="F942" s="9"/>
      <c r="G942" s="9"/>
      <c r="H942" s="9"/>
      <c r="I942" s="9"/>
      <c r="J942" s="9"/>
      <c r="K942" s="9"/>
    </row>
    <row r="943" spans="1:11" hidden="1" x14ac:dyDescent="0.3">
      <c r="A943" s="9"/>
      <c r="B943" s="9"/>
      <c r="C943" s="9"/>
      <c r="D943" s="9"/>
      <c r="E943" s="9"/>
      <c r="F943" s="9"/>
      <c r="G943" s="9"/>
      <c r="H943" s="9"/>
      <c r="I943" s="9"/>
      <c r="J943" s="9"/>
      <c r="K943" s="9"/>
    </row>
    <row r="944" spans="1:11" hidden="1" x14ac:dyDescent="0.3">
      <c r="A944" s="9"/>
      <c r="B944" s="9"/>
      <c r="C944" s="9"/>
      <c r="D944" s="9"/>
      <c r="E944" s="9"/>
      <c r="F944" s="9"/>
      <c r="G944" s="9"/>
      <c r="H944" s="9"/>
      <c r="I944" s="9"/>
      <c r="J944" s="9"/>
      <c r="K944" s="9"/>
    </row>
    <row r="945" spans="1:11" hidden="1" x14ac:dyDescent="0.3">
      <c r="A945" s="9"/>
      <c r="B945" s="9"/>
      <c r="C945" s="9"/>
      <c r="D945" s="9"/>
      <c r="E945" s="9"/>
      <c r="F945" s="9"/>
      <c r="G945" s="9"/>
      <c r="H945" s="9"/>
      <c r="I945" s="9"/>
      <c r="J945" s="9"/>
      <c r="K945" s="9"/>
    </row>
    <row r="946" spans="1:11" hidden="1" x14ac:dyDescent="0.3">
      <c r="A946" s="9"/>
      <c r="B946" s="9"/>
      <c r="C946" s="9"/>
      <c r="D946" s="9"/>
      <c r="E946" s="9"/>
      <c r="F946" s="9"/>
      <c r="G946" s="9"/>
      <c r="H946" s="9"/>
      <c r="I946" s="9"/>
      <c r="J946" s="9"/>
      <c r="K946" s="9"/>
    </row>
    <row r="947" spans="1:11" hidden="1" x14ac:dyDescent="0.3">
      <c r="A947" s="9"/>
      <c r="B947" s="9"/>
      <c r="C947" s="9"/>
      <c r="D947" s="9"/>
      <c r="E947" s="9"/>
      <c r="F947" s="9"/>
      <c r="G947" s="9"/>
      <c r="H947" s="9"/>
      <c r="I947" s="9"/>
      <c r="J947" s="9"/>
      <c r="K947" s="9"/>
    </row>
    <row r="948" spans="1:11" hidden="1" x14ac:dyDescent="0.3">
      <c r="A948" s="9"/>
      <c r="B948" s="9"/>
      <c r="C948" s="9"/>
      <c r="D948" s="9"/>
      <c r="E948" s="9"/>
      <c r="F948" s="9"/>
      <c r="G948" s="9"/>
      <c r="H948" s="9"/>
      <c r="I948" s="9"/>
      <c r="J948" s="9"/>
      <c r="K948" s="9"/>
    </row>
    <row r="949" spans="1:11" hidden="1" x14ac:dyDescent="0.3">
      <c r="A949" s="9"/>
      <c r="B949" s="9"/>
      <c r="C949" s="9"/>
      <c r="D949" s="9"/>
      <c r="E949" s="9"/>
      <c r="F949" s="9"/>
      <c r="G949" s="9"/>
      <c r="H949" s="9"/>
      <c r="I949" s="9"/>
      <c r="J949" s="9"/>
      <c r="K949" s="9"/>
    </row>
    <row r="950" spans="1:11" hidden="1" x14ac:dyDescent="0.3">
      <c r="A950" s="9"/>
      <c r="B950" s="9"/>
      <c r="C950" s="9"/>
      <c r="D950" s="9"/>
      <c r="E950" s="9"/>
      <c r="F950" s="9"/>
      <c r="G950" s="9"/>
      <c r="H950" s="9"/>
      <c r="I950" s="9"/>
      <c r="J950" s="9"/>
      <c r="K950" s="9"/>
    </row>
    <row r="951" spans="1:11" hidden="1" x14ac:dyDescent="0.3">
      <c r="A951" s="9"/>
      <c r="B951" s="9"/>
      <c r="C951" s="9"/>
      <c r="D951" s="9"/>
      <c r="E951" s="9"/>
      <c r="F951" s="9"/>
      <c r="G951" s="9"/>
      <c r="H951" s="9"/>
      <c r="I951" s="9"/>
      <c r="J951" s="9"/>
      <c r="K951" s="9"/>
    </row>
    <row r="952" spans="1:11" hidden="1" x14ac:dyDescent="0.3">
      <c r="A952" s="9"/>
      <c r="B952" s="9"/>
      <c r="C952" s="9"/>
      <c r="D952" s="9"/>
      <c r="E952" s="9"/>
      <c r="F952" s="9"/>
      <c r="G952" s="9"/>
      <c r="H952" s="9"/>
      <c r="I952" s="9"/>
      <c r="J952" s="9"/>
      <c r="K952" s="9"/>
    </row>
    <row r="953" spans="1:11" hidden="1" x14ac:dyDescent="0.3">
      <c r="A953" s="9"/>
      <c r="B953" s="9"/>
      <c r="C953" s="9"/>
      <c r="D953" s="9"/>
      <c r="E953" s="9"/>
      <c r="F953" s="9"/>
      <c r="G953" s="9"/>
      <c r="H953" s="9"/>
      <c r="I953" s="9"/>
      <c r="J953" s="9"/>
      <c r="K953" s="9"/>
    </row>
    <row r="954" spans="1:11" hidden="1" x14ac:dyDescent="0.3">
      <c r="A954" s="9"/>
      <c r="B954" s="9"/>
      <c r="C954" s="9"/>
      <c r="D954" s="9"/>
      <c r="E954" s="9"/>
      <c r="F954" s="9"/>
      <c r="G954" s="9"/>
      <c r="H954" s="9"/>
      <c r="I954" s="9"/>
      <c r="J954" s="9"/>
      <c r="K954" s="9"/>
    </row>
    <row r="955" spans="1:11" hidden="1" x14ac:dyDescent="0.3">
      <c r="A955" s="9"/>
      <c r="B955" s="9"/>
      <c r="C955" s="9"/>
      <c r="D955" s="9"/>
      <c r="E955" s="9"/>
      <c r="F955" s="9"/>
      <c r="G955" s="9"/>
      <c r="H955" s="9"/>
      <c r="I955" s="9"/>
      <c r="J955" s="9"/>
      <c r="K955" s="9"/>
    </row>
    <row r="956" spans="1:11" hidden="1" x14ac:dyDescent="0.3">
      <c r="A956" s="9"/>
      <c r="B956" s="9"/>
      <c r="C956" s="9"/>
      <c r="D956" s="9"/>
      <c r="E956" s="9"/>
      <c r="F956" s="9"/>
      <c r="G956" s="9"/>
      <c r="H956" s="9"/>
      <c r="I956" s="9"/>
      <c r="J956" s="9"/>
      <c r="K956" s="9"/>
    </row>
    <row r="957" spans="1:11" hidden="1" x14ac:dyDescent="0.3">
      <c r="A957" s="9"/>
      <c r="B957" s="9"/>
      <c r="C957" s="9"/>
      <c r="D957" s="9"/>
      <c r="E957" s="9"/>
      <c r="F957" s="9"/>
      <c r="G957" s="9"/>
      <c r="H957" s="9"/>
      <c r="I957" s="9"/>
      <c r="J957" s="9"/>
      <c r="K957" s="9"/>
    </row>
    <row r="958" spans="1:11" hidden="1" x14ac:dyDescent="0.3">
      <c r="A958" s="9"/>
      <c r="B958" s="9"/>
      <c r="C958" s="9"/>
      <c r="D958" s="9"/>
      <c r="E958" s="9"/>
      <c r="F958" s="9"/>
      <c r="G958" s="9"/>
      <c r="H958" s="9"/>
      <c r="I958" s="9"/>
      <c r="J958" s="9"/>
      <c r="K958" s="9"/>
    </row>
    <row r="959" spans="1:11" hidden="1" x14ac:dyDescent="0.3">
      <c r="A959" s="9"/>
      <c r="B959" s="9"/>
      <c r="C959" s="9"/>
      <c r="D959" s="9"/>
      <c r="E959" s="9"/>
      <c r="F959" s="9"/>
      <c r="G959" s="9"/>
      <c r="H959" s="9"/>
      <c r="I959" s="9"/>
      <c r="J959" s="9"/>
      <c r="K959" s="9"/>
    </row>
    <row r="960" spans="1:11" hidden="1" x14ac:dyDescent="0.3">
      <c r="A960" s="9"/>
      <c r="B960" s="9"/>
      <c r="C960" s="9"/>
      <c r="D960" s="9"/>
      <c r="E960" s="9"/>
      <c r="F960" s="9"/>
      <c r="G960" s="9"/>
      <c r="H960" s="9"/>
      <c r="I960" s="9"/>
      <c r="J960" s="9"/>
      <c r="K960" s="9"/>
    </row>
    <row r="961" spans="1:11" hidden="1" x14ac:dyDescent="0.3">
      <c r="A961" s="9"/>
      <c r="B961" s="9"/>
      <c r="C961" s="9"/>
      <c r="D961" s="9"/>
      <c r="E961" s="9"/>
      <c r="F961" s="9"/>
      <c r="G961" s="9"/>
      <c r="H961" s="9"/>
      <c r="I961" s="9"/>
      <c r="J961" s="9"/>
      <c r="K961" s="9"/>
    </row>
    <row r="962" spans="1:11" hidden="1" x14ac:dyDescent="0.3">
      <c r="A962" s="9"/>
      <c r="B962" s="9"/>
      <c r="C962" s="9"/>
      <c r="D962" s="9"/>
      <c r="E962" s="9"/>
      <c r="F962" s="9"/>
      <c r="G962" s="9"/>
      <c r="H962" s="9"/>
      <c r="I962" s="9"/>
      <c r="J962" s="9"/>
      <c r="K962" s="9"/>
    </row>
    <row r="963" spans="1:11" x14ac:dyDescent="0.3"/>
  </sheetData>
  <sheetProtection algorithmName="SHA-512" hashValue="5lVhjBBj3Vz32/r3F9PA378FNZnkMW0R/9wdp2CasIig5HxYlLMjWoGNXltCVTyvs42EaTdtES6ngr4yEAt4dg==" saltValue="NV5Y54K80XLT9lMRjf5k5A==" spinCount="100000" sheet="1" objects="1" scenarios="1"/>
  <autoFilter ref="A2:V333" xr:uid="{7A8EA376-A694-4C57-ABC3-273136BB8C1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e987aa-ba57-409a-b474-072a10bf63c3" xsi:nil="true"/>
    <lcf76f155ced4ddcb4097134ff3c332f xmlns="59db3a20-cd76-483e-8241-5de0717f7c1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4" ma:contentTypeDescription="Create a new document." ma:contentTypeScope="" ma:versionID="374bacd72e5c45aae25e10926e85a2e0">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18a1620b1ab938580dc908f4006cf221"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F336D-6B97-407A-8300-C0C188644765}">
  <ds:schemaRefs>
    <ds:schemaRef ds:uri="http://purl.org/dc/dcmitype/"/>
    <ds:schemaRef ds:uri="http://www.w3.org/XML/1998/namespace"/>
    <ds:schemaRef ds:uri="59db3a20-cd76-483e-8241-5de0717f7c1b"/>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6ce987aa-ba57-409a-b474-072a10bf63c3"/>
    <ds:schemaRef ds:uri="http://purl.org/dc/terms/"/>
  </ds:schemaRefs>
</ds:datastoreItem>
</file>

<file path=customXml/itemProps2.xml><?xml version="1.0" encoding="utf-8"?>
<ds:datastoreItem xmlns:ds="http://schemas.openxmlformats.org/officeDocument/2006/customXml" ds:itemID="{557CA352-70DF-4A8C-BE16-1BA25A2D45EE}">
  <ds:schemaRefs>
    <ds:schemaRef ds:uri="http://schemas.microsoft.com/sharepoint/v3/contenttype/forms"/>
  </ds:schemaRefs>
</ds:datastoreItem>
</file>

<file path=customXml/itemProps3.xml><?xml version="1.0" encoding="utf-8"?>
<ds:datastoreItem xmlns:ds="http://schemas.openxmlformats.org/officeDocument/2006/customXml" ds:itemID="{3E448F0C-8568-40B6-BE29-54659AE1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START HERE</vt:lpstr>
      <vt:lpstr>Organization</vt:lpstr>
      <vt:lpstr>Product</vt:lpstr>
      <vt:lpstr>Infrastructure</vt:lpstr>
      <vt:lpstr>IT Accessibility</vt:lpstr>
      <vt:lpstr>Case-Specific</vt:lpstr>
      <vt:lpstr>AI</vt:lpstr>
      <vt:lpstr>Privacy</vt:lpstr>
      <vt:lpstr>Institution Evaluation</vt:lpstr>
      <vt:lpstr>High-Risk Evaluation</vt:lpstr>
      <vt:lpstr>Privacy Analyst Evaluation</vt:lpstr>
      <vt:lpstr>Analyst Reference</vt:lpstr>
      <vt:lpstr>Questions</vt:lpstr>
      <vt:lpstr>Auto Responses</vt:lpstr>
      <vt:lpstr>(backend 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4.0</dc:title>
  <dc:creator>BJ Hollowell</dc:creator>
  <cp:lastModifiedBy>Mark Rank</cp:lastModifiedBy>
  <dcterms:created xsi:type="dcterms:W3CDTF">2024-11-11T16:57:18Z</dcterms:created>
  <dcterms:modified xsi:type="dcterms:W3CDTF">2025-08-28T14:22:11Z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0x01010074D872F97966D74188195EB9403F400A</vt:lpwstr>
  </property>
  <property fmtid="{D5CDD505-2E9C-101B-9397-08002B2CF9AE}" pid="3" name="MediaServiceImageTags">
    <vt:lpwstr/>
  </property>
</Properties>
</file>